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2dAJ0j8w29fMDRws0VpNWCZApdAc+FhXSsfMJPvCvo63eSPkQXNGzKMh52MRAWYhSh069FyFqZRD5GhL+vnQQ==" workbookSaltValue="XS+QA7CbFQdOh1V03X9V5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5" i="6" s="1"/>
  <c r="E16" i="2"/>
  <c r="E17" i="2"/>
  <c r="C16" i="2"/>
  <c r="D16" i="2" s="1"/>
  <c r="C17" i="2"/>
  <c r="D17" i="2" s="1"/>
  <c r="I9" i="2"/>
  <c r="I10" i="2"/>
  <c r="I11" i="2"/>
  <c r="I12" i="2"/>
  <c r="C10" i="2"/>
  <c r="D10" i="2" s="1"/>
  <c r="C11" i="2"/>
  <c r="D11" i="2" s="1"/>
  <c r="C12" i="2"/>
  <c r="D12" i="2" s="1"/>
  <c r="G9" i="2"/>
  <c r="G10" i="2"/>
  <c r="G11" i="2"/>
  <c r="C11" i="6" s="1"/>
  <c r="G12" i="2"/>
  <c r="E9" i="2"/>
  <c r="B9" i="6"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AL10" i="11"/>
  <c r="N10" i="11"/>
  <c r="N9" i="11"/>
  <c r="T10" i="21"/>
  <c r="V10" i="21" s="1"/>
  <c r="AO16" i="1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M13" i="2"/>
  <c r="N13" i="2"/>
  <c r="AO12" i="11"/>
  <c r="H13" i="12"/>
  <c r="T19" i="8"/>
  <c r="AJ19" i="8"/>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AY13" i="8"/>
  <c r="BD12" i="8"/>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Q20" i="20"/>
  <c r="U12" i="11"/>
  <c r="R20" i="20"/>
  <c r="AV20" i="20"/>
  <c r="AO20" i="20"/>
  <c r="Z20" i="20"/>
  <c r="O16" i="11"/>
  <c r="T20" i="20"/>
  <c r="I20" i="20"/>
  <c r="AD20" i="20"/>
  <c r="M20" i="20"/>
  <c r="W20" i="21"/>
  <c r="W20" i="20"/>
  <c r="AI20" i="20"/>
  <c r="AG20" i="20"/>
  <c r="AU20" i="20"/>
  <c r="Y20" i="20"/>
  <c r="O20" i="20"/>
  <c r="AH20" i="20"/>
  <c r="H20" i="20"/>
  <c r="N20" i="20"/>
  <c r="T20" i="21"/>
  <c r="AX20" i="20"/>
  <c r="X20" i="20"/>
  <c r="C17" i="6" l="1"/>
  <c r="I17" i="12" s="1"/>
  <c r="BF17" i="8"/>
  <c r="F17" i="17"/>
  <c r="AQ17" i="17" s="1"/>
  <c r="B16" i="6"/>
  <c r="AW18" i="21"/>
  <c r="B18" i="2"/>
  <c r="AO12" i="17"/>
  <c r="L12" i="14"/>
  <c r="H12" i="7"/>
  <c r="Z19" i="8"/>
  <c r="BG10" i="8"/>
  <c r="AL11" i="11"/>
  <c r="E9" i="6"/>
  <c r="E11" i="6"/>
  <c r="AO9" i="11"/>
  <c r="F9" i="2"/>
  <c r="AO17" i="11"/>
  <c r="H12" i="2"/>
  <c r="M18" i="2"/>
  <c r="N18" i="2"/>
  <c r="S12" i="14"/>
  <c r="V12" i="14" s="1"/>
  <c r="S16" i="14"/>
  <c r="V16" i="14" s="1"/>
  <c r="R16" i="14"/>
  <c r="BF11" i="8"/>
  <c r="BF9" i="8"/>
  <c r="C10" i="6"/>
  <c r="BD15" i="8"/>
  <c r="H15" i="7" s="1"/>
  <c r="BE15" i="8"/>
  <c r="BG16" i="8"/>
  <c r="E18" i="2"/>
  <c r="AL15" i="11"/>
  <c r="L16" i="14"/>
  <c r="F15" i="11"/>
  <c r="F16" i="17"/>
  <c r="BB13" i="13"/>
  <c r="D11" i="12"/>
  <c r="D12" i="12"/>
  <c r="BG9" i="8"/>
  <c r="K9" i="7" s="1"/>
  <c r="BD11" i="8"/>
  <c r="BE11" i="8"/>
  <c r="I11" i="7" s="1"/>
  <c r="BG12" i="8"/>
  <c r="BE12" i="8"/>
  <c r="I12" i="7" s="1"/>
  <c r="L11" i="14"/>
  <c r="F12" i="11"/>
  <c r="AQ12" i="11" s="1"/>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L18" i="11"/>
  <c r="F19" i="7"/>
  <c r="D19" i="12"/>
  <c r="AI19" i="11"/>
  <c r="J18" i="2"/>
  <c r="B18" i="6"/>
  <c r="F18" i="2"/>
  <c r="P12" i="11"/>
  <c r="I12" i="12"/>
  <c r="G21" i="11"/>
  <c r="C18" i="6"/>
  <c r="AM13" i="11"/>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O20" i="11"/>
  <c r="H20" i="12"/>
  <c r="AU20" i="21"/>
  <c r="AO20" i="17"/>
  <c r="S20" i="17"/>
  <c r="AW20" i="16"/>
  <c r="AP20" i="21"/>
  <c r="AU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P20" i="21"/>
  <c r="BS20" i="16"/>
  <c r="N20" i="21"/>
  <c r="H20" i="16"/>
  <c r="AK20" i="17"/>
  <c r="AT20" i="20"/>
  <c r="I20" i="16"/>
  <c r="F20" i="17"/>
  <c r="AC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<sst xmlns="http://schemas.openxmlformats.org/spreadsheetml/2006/main" count="2102" uniqueCount="918">
  <si>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</si>
  <si>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</si>
  <si>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</si>
  <si>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</si>
  <si>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</si>
  <si>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</si>
  <si>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</si>
  <si>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</si>
  <si>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</si>
  <si>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</si>
  <si>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</si>
  <si>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</si>
  <si>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</si>
  <si>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</si>
  <si>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</si>
  <si>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</si>
  <si>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</si>
  <si>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</si>
  <si>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</si>
  <si>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</si>
  <si>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</si>
  <si>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</si>
  <si>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</si>
  <si>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</si>
  <si>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</si>
  <si>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</si>
  <si>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</si>
  <si>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</si>
  <si>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</si>
  <si>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</si>
  <si>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</si>
  <si>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</si>
  <si>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</si>
  <si>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</si>
  <si>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</si>
  <si>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</si>
  <si>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</si>
  <si>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</si>
  <si>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</si>
  <si>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</si>
  <si>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</si>
  <si>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</si>
  <si>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</si>
  <si>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</si>
  <si>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</si>
  <si>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</si>
  <si>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</si>
  <si>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</si>
  <si>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</si>
  <si>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</si>
  <si>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</si>
  <si>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</si>
  <si>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</si>
  <si>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</si>
  <si>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</si>
  <si>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</si>
  <si>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</si>
  <si>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</si>
  <si>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</si>
  <si>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</si>
  <si>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</si>
  <si>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</si>
  <si>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</si>
  <si>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</si>
  <si>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</si>
  <si>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</si>
  <si>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</si>
  <si>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</si>
  <si>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</si>
  <si>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</si>
  <si>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</si>
  <si>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</si>
  <si>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</si>
  <si>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</si>
  <si>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</si>
  <si>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</si>
  <si>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</si>
  <si>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</si>
  <si>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</si>
  <si>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</si>
  <si>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</si>
  <si>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</si>
  <si>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</si>
  <si>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</si>
  <si>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</si>
  <si>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</si>
  <si>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</si>
  <si>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</si>
  <si>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</si>
  <si>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</si>
  <si>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</si>
  <si>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</si>
  <si>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</si>
  <si>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</si>
  <si>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</si>
  <si>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</si>
  <si>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</si>
  <si>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</si>
  <si>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</si>
  <si>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</si>
  <si>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</si>
  <si>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</si>
  <si>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</si>
  <si>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</si>
  <si>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</si>
  <si>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</si>
  <si>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</si>
  <si>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</si>
  <si>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</si>
  <si>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</si>
  <si>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</si>
  <si>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</si>
  <si>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</si>
  <si>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</si>
  <si>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</si>
  <si>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</si>
  <si>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</si>
  <si>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</si>
  <si>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</si>
  <si>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</si>
  <si>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</si>
  <si>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</si>
  <si>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</si>
  <si>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</si>
  <si>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</si>
  <si>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</si>
  <si>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</si>
  <si>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</si>
  <si>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</si>
  <si>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</si>
  <si>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</si>
  <si>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</si>
  <si>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</si>
  <si>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</si>
  <si>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</si>
  <si>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</si>
  <si>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</si>
  <si>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</si>
  <si>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</si>
  <si>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</si>
  <si>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</si>
  <si>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</si>
  <si>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</si>
  <si>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</si>
  <si>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</si>
  <si>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</si>
  <si>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</si>
  <si>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</si>
  <si>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</si>
  <si>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</si>
  <si>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</si>
  <si>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</si>
  <si>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</si>
  <si>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</si>
  <si>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</si>
  <si>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</si>
  <si>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</si>
  <si>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</si>
  <si>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</si>
  <si>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</si>
  <si>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</si>
  <si>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</si>
  <si>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</si>
  <si>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</si>
  <si>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</si>
  <si>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</si>
  <si>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</si>
  <si>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</si>
  <si>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</si>
  <si>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</si>
  <si>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</si>
  <si>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</si>
  <si>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</si>
  <si>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</si>
  <si>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</si>
  <si>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</si>
  <si>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</si>
  <si>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</si>
  <si>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</si>
  <si>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</si>
  <si>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</si>
  <si>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</si>
  <si>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</si>
  <si>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</si>
  <si>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</si>
  <si>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</si>
  <si>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</si>
  <si>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</si>
  <si>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</si>
  <si>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</si>
  <si>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</si>
  <si>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</si>
  <si>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</si>
  <si>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</si>
  <si>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</si>
  <si>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</si>
  <si>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</si>
  <si>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</si>
  <si>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</si>
  <si>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</si>
  <si>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</si>
  <si>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</si>
  <si>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</si>
  <si>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</si>
  <si>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</si>
  <si>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</si>
  <si>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</si>
  <si>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</si>
  <si>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</si>
  <si>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</si>
  <si>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</si>
  <si>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</si>
  <si>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</si>
  <si>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</si>
  <si>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</si>
  <si>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</si>
  <si>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</si>
  <si>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</si>
  <si>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</si>
  <si>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</si>
  <si>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</si>
  <si>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</si>
  <si>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</si>
  <si>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</si>
  <si>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</si>
  <si>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</si>
  <si>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</si>
  <si>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</si>
  <si>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</si>
  <si>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</si>
  <si>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</si>
  <si>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</si>
  <si>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</si>
  <si>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</si>
  <si>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</si>
  <si>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</si>
  <si>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</si>
  <si>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</si>
  <si>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</si>
  <si>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</si>
  <si>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</si>
  <si>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</si>
  <si>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</si>
  <si>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</si>
  <si>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</si>
  <si>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</si>
  <si>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</si>
  <si>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</si>
  <si>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</si>
  <si>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</si>
  <si>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</si>
  <si>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</si>
  <si>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</si>
  <si>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</si>
  <si>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</si>
  <si>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</si>
  <si>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</si>
  <si>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</si>
  <si>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</si>
  <si>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</si>
  <si>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</si>
  <si>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</si>
  <si>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</si>
  <si>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</si>
  <si>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</si>
  <si>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</si>
  <si>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</si>
  <si>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</si>
  <si>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</si>
  <si>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</si>
  <si>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</si>
  <si>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</si>
  <si>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</si>
  <si>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</si>
  <si>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</si>
  <si>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</si>
  <si>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</si>
  <si>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</si>
  <si>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</si>
  <si>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</si>
  <si>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</si>
  <si>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</si>
  <si>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</si>
  <si>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</si>
  <si>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</si>
  <si>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</si>
  <si>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</si>
  <si>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</si>
  <si>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</si>
  <si>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</si>
  <si>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</si>
  <si>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</si>
  <si>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</si>
  <si>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</si>
  <si>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</si>
  <si>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</si>
  <si>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</si>
  <si>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</si>
  <si>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</si>
  <si>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</si>
  <si>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</si>
  <si>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</si>
  <si>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</si>
  <si>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</si>
  <si>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</si>
  <si>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</si>
  <si>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</si>
  <si>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</si>
  <si>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</si>
  <si>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</si>
  <si>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</si>
  <si>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</si>
  <si>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</si>
  <si>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</si>
  <si>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</si>
  <si>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</si>
  <si>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</si>
  <si>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</si>
  <si>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</si>
  <si>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</si>
  <si>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</si>
  <si>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</si>
  <si>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</si>
  <si>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</si>
  <si>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</si>
  <si>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</si>
  <si>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</si>
  <si>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</si>
  <si>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</si>
  <si>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</si>
  <si>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</si>
  <si>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</si>
  <si>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</si>
  <si>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</si>
  <si>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</si>
  <si>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</si>
  <si>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</si>
  <si>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</si>
  <si>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</si>
  <si>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</si>
  <si>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</si>
  <si>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</si>
  <si>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</si>
  <si>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</si>
  <si>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</si>
  <si>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</si>
  <si>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</si>
  <si>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</si>
  <si>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</si>
  <si>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</si>
  <si>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</si>
  <si>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</si>
  <si>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</si>
  <si>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</si>
  <si>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</si>
  <si>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</si>
  <si>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</si>
  <si>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</si>
  <si>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</si>
  <si>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</si>
  <si>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</si>
  <si>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</si>
  <si>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</si>
  <si>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</si>
  <si>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</si>
  <si>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</si>
  <si>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</si>
  <si>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</si>
  <si>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</si>
  <si>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</si>
  <si>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</si>
  <si>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</si>
  <si>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</si>
  <si>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</si>
  <si>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</si>
  <si>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</si>
  <si>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</si>
  <si>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</si>
  <si>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</si>
  <si>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</si>
  <si>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</si>
  <si>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</si>
  <si>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</si>
  <si>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</si>
  <si>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</si>
  <si>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</si>
  <si>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</si>
  <si>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</si>
  <si>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</si>
  <si>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</si>
  <si>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</si>
  <si>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</si>
  <si>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</si>
  <si>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</si>
  <si>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</si>
  <si>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</si>
  <si>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</si>
  <si>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</si>
  <si>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</si>
  <si>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</si>
  <si>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</si>
  <si>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</si>
  <si>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</si>
  <si>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</si>
  <si>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</si>
  <si>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</si>
  <si>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</si>
  <si>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</si>
  <si>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</si>
  <si>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</si>
  <si>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</si>
  <si>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</si>
  <si>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</si>
  <si>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</si>
  <si>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</si>
  <si>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</si>
  <si>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</si>
  <si>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</si>
  <si>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</si>
  <si>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</si>
  <si>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</si>
  <si>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</si>
  <si>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</si>
  <si>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</si>
  <si>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</si>
  <si>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</si>
  <si>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</si>
  <si>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</si>
  <si>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</si>
  <si>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</si>
  <si>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</si>
  <si>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</si>
  <si>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</si>
  <si>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</si>
  <si>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</si>
  <si>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</si>
  <si>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</si>
  <si>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</si>
  <si>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</si>
  <si>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</si>
  <si>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</si>
  <si>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</si>
  <si>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</si>
  <si>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</si>
  <si>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</si>
  <si>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</si>
  <si>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</si>
  <si>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</si>
  <si>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</si>
  <si>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</si>
  <si>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</si>
  <si>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</si>
  <si>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</si>
  <si>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</si>
  <si>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</si>
  <si>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</si>
  <si>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</si>
  <si>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</si>
  <si>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</si>
  <si>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</si>
  <si>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</si>
  <si>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</si>
  <si>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</si>
  <si>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</si>
  <si>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</si>
  <si>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</si>
  <si>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</si>
  <si>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</si>
  <si>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</si>
  <si>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</si>
  <si>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</si>
  <si>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</si>
  <si>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</si>
  <si>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</si>
  <si>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</si>
  <si>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</si>
  <si>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</si>
  <si>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</si>
  <si>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</si>
  <si>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</si>
  <si>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</si>
  <si>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</si>
  <si>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</si>
  <si>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</si>
  <si>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</si>
  <si>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</si>
  <si>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</si>
  <si>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</si>
  <si>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</si>
  <si>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</si>
  <si>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</si>
  <si>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</si>
  <si>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</si>
  <si>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</si>
  <si>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</si>
  <si>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</si>
  <si>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</si>
  <si>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</si>
  <si>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</si>
  <si>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</si>
  <si>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</si>
  <si>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</si>
  <si>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</si>
  <si>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</si>
  <si>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</si>
  <si>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</si>
  <si>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</si>
  <si>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</si>
  <si>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</si>
  <si>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</si>
  <si>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</si>
  <si>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</si>
  <si>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</si>
  <si>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</si>
  <si>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</si>
  <si>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</si>
  <si>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</si>
  <si>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</si>
  <si>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</si>
  <si>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</si>
  <si>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</si>
  <si>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</si>
  <si>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</si>
  <si>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</si>
  <si>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</si>
  <si>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</si>
  <si>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</si>
  <si>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</si>
  <si>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</si>
  <si>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</si>
  <si>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</si>
  <si>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</si>
  <si>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</si>
  <si>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</si>
  <si>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</si>
  <si>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</si>
  <si>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</si>
  <si>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</si>
  <si>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</si>
  <si>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</si>
  <si>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</si>
  <si>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</si>
  <si>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</si>
  <si>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</si>
  <si>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</si>
  <si>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</si>
  <si>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</si>
  <si>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</si>
  <si>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</si>
  <si>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</si>
  <si>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</si>
  <si>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</si>
  <si>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</si>
  <si>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</si>
  <si>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</si>
  <si>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</si>
  <si>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</si>
  <si>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</si>
  <si>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</si>
  <si>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</si>
  <si>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</si>
  <si>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</si>
  <si>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</si>
  <si>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</si>
  <si>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</si>
  <si>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</si>
  <si>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</si>
  <si>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</si>
  <si>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</si>
  <si>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</si>
  <si>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</si>
  <si>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</si>
  <si>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</si>
  <si>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</si>
  <si>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</si>
  <si>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</si>
  <si>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</si>
  <si>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</si>
  <si>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</si>
  <si>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</si>
  <si>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</si>
  <si>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</si>
  <si>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</si>
  <si>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</si>
  <si>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</si>
  <si>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</si>
  <si>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</si>
  <si>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</si>
  <si>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</si>
  <si>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</si>
  <si>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</si>
  <si>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</si>
  <si>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</si>
  <si>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</si>
  <si>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</si>
  <si>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</si>
  <si>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</si>
  <si>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</si>
  <si>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</si>
  <si>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</si>
  <si>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</si>
  <si>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</si>
  <si>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</si>
  <si>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</si>
  <si>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</si>
  <si>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</si>
  <si>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</si>
  <si>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</si>
  <si>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</si>
  <si>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</si>
  <si>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</si>
  <si>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</si>
  <si>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</si>
  <si>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</si>
  <si>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</si>
  <si>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</si>
  <si>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</si>
  <si>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</si>
  <si>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</si>
  <si>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</si>
  <si>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</si>
  <si>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</si>
  <si>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</si>
  <si>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</si>
  <si>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</si>
  <si>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</si>
  <si>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</si>
  <si>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</si>
  <si>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</si>
  <si>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</si>
  <si>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</si>
  <si>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</si>
  <si>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</si>
  <si>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</si>
  <si>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</si>
  <si>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</si>
  <si>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</si>
  <si>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</si>
  <si>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</si>
  <si>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</si>
  <si>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</si>
  <si>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</si>
  <si>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</si>
  <si>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</si>
  <si>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</si>
  <si>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</si>
  <si>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</si>
  <si>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</si>
  <si>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</si>
  <si>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</si>
  <si>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</si>
  <si>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</si>
  <si>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</si>
  <si>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</si>
  <si>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</si>
  <si>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</si>
  <si>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</si>
  <si>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</si>
  <si>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</si>
  <si>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</si>
  <si>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</si>
  <si>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</si>
  <si>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</si>
  <si>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</si>
  <si>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</si>
  <si>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</si>
  <si>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</si>
  <si>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</si>
  <si>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</si>
  <si>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</si>
  <si>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</si>
  <si>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</si>
  <si>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</si>
  <si>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</si>
  <si>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</si>
  <si>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</si>
  <si>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</si>
  <si>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</si>
  <si>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</si>
  <si>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</si>
  <si>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</si>
  <si>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</si>
  <si>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</si>
  <si>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</si>
  <si>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</si>
  <si>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</si>
  <si>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</si>
  <si>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</si>
  <si>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</si>
  <si>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</si>
  <si>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</si>
  <si>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</si>
  <si>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</si>
  <si>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</si>
  <si>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</si>
  <si>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</si>
  <si>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</si>
  <si>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</si>
  <si>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</si>
  <si>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</si>
  <si>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</si>
  <si>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</si>
  <si>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</si>
  <si>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</si>
  <si>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</si>
  <si>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</si>
  <si>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</si>
  <si>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</si>
  <si>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</si>
  <si>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</si>
  <si>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</si>
  <si>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</si>
  <si>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</si>
  <si>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</si>
  <si>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</si>
  <si>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</si>
  <si>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</si>
  <si>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</si>
  <si>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</si>
  <si>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</si>
  <si>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</si>
  <si>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</si>
  <si>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</si>
  <si>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</si>
  <si>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</si>
  <si>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</si>
  <si>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</si>
  <si>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</si>
  <si>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</si>
  <si>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</si>
  <si>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</si>
  <si>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</si>
  <si>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</si>
  <si>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</si>
  <si>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</si>
  <si>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</si>
  <si>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</si>
  <si>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</si>
  <si>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</si>
  <si>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</si>
  <si>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</si>
  <si>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</si>
  <si>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</si>
  <si>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</si>
  <si>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</si>
  <si>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</si>
  <si>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</si>
  <si>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</si>
  <si>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</si>
  <si>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</si>
  <si>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</si>
  <si>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</si>
  <si>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</si>
  <si>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</si>
  <si>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</si>
  <si>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</si>
  <si>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</si>
  <si>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</si>
  <si>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</si>
  <si>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</si>
  <si>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</si>
  <si>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</si>
  <si>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</si>
  <si>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</si>
  <si>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</si>
  <si>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</si>
  <si>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</si>
  <si>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</si>
  <si>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</si>
  <si>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</si>
  <si>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</si>
  <si>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</si>
  <si>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</si>
  <si>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</si>
  <si>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</si>
  <si>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</si>
  <si>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</si>
  <si>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</si>
  <si>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</si>
  <si>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</si>
  <si>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</si>
  <si>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</si>
  <si>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</si>
  <si>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</si>
  <si>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</si>
  <si>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</si>
  <si>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</si>
  <si>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</si>
  <si>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</si>
  <si>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</si>
  <si>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</si>
  <si>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</si>
  <si>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</si>
  <si>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</si>
  <si>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</si>
  <si>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</si>
  <si>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</si>
  <si>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</si>
  <si>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</si>
  <si>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</si>
  <si>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</si>
  <si>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</si>
  <si>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</si>
  <si>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</si>
  <si>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</si>
  <si>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</si>
  <si>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</si>
  <si>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</si>
  <si>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</si>
  <si>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</si>
  <si>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</si>
  <si>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</si>
  <si>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</si>
  <si>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</si>
  <si>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</si>
  <si>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</si>
  <si>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</si>
  <si>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</si>
  <si>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</si>
  <si>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</si>
  <si>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</si>
  <si>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</si>
  <si>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</si>
  <si>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</si>
  <si>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</si>
  <si>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</si>
  <si>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</si>
  <si>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</si>
  <si>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</si>
  <si>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</si>
  <si>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</si>
  <si>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</si>
  <si>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</si>
  <si>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</si>
  <si>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</si>
  <si>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</si>
  <si>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</si>
  <si>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</si>
  <si>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</si>
  <si>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</si>
  <si>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</si>
  <si>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</si>
  <si>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</si>
  <si>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</si>
  <si>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</si>
  <si>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</si>
  <si>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</si>
  <si>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</si>
  <si>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</si>
  <si>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</si>
  <si>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</si>
  <si>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</si>
  <si>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</si>
  <si>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</si>
  <si>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</si>
  <si>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</si>
  <si>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</si>
  <si>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</si>
  <si>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</si>
  <si>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</si>
  <si>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</si>
  <si>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</si>
  <si>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</si>
  <si>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</si>
  <si>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</si>
  <si>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</si>
  <si>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</si>
  <si>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</si>
  <si>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</si>
  <si>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</si>
  <si>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</si>
  <si>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</si>
  <si>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</si>
  <si>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</si>
  <si>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</si>
  <si>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</si>
  <si>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</si>
  <si>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</si>
  <si>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</si>
  <si>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</si>
  <si>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</si>
  <si>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</si>
  <si>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</si>
  <si>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</si>
  <si>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</si>
  <si>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</si>
  <si>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</si>
  <si>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</si>
  <si>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</si>
  <si>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</si>
  <si>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</si>
  <si>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</si>
  <si>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</si>
  <si>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</si>
  <si>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</si>
  <si>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</si>
  <si>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</si>
  <si>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</si>
  <si>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</si>
  <si>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</si>
  <si>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</si>
  <si>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</si>
  <si>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</si>
  <si>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</si>
  <si>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</si>
  <si>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</si>
  <si>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</si>
  <si>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</si>
  <si>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</si>
  <si>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</si>
  <si>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</si>
  <si>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</si>
  <si>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</si>
  <si>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</si>
  <si>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</si>
  <si>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</si>
  <si>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</si>
  <si>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MARTORELL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</si>
</sst>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a/r+8wn/gm2ms0YwpfGPg3g7otfQfDRoljLo1Ck4RZvqhP+elfPKrlkdUO8jsLY5MZ3xduXpAi1FxjCfg3eeA==" saltValue="O/iTQkYly3qSc7NsxUEa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116</v>
      </c>
      <c r="D10" s="224">
        <f>IF(ISNUMBER(Datos!I10),Datos!I10," - ")</f>
        <v>116</v>
      </c>
      <c r="E10" s="225">
        <f>IF(ISNUMBER(Datos!J10),Datos!J10," - ")</f>
        <v>40</v>
      </c>
      <c r="F10" s="225">
        <f>IF(ISNUMBER(Datos!K10),Datos!K10," - ")</f>
        <v>32</v>
      </c>
      <c r="G10" s="1033" t="str">
        <f>IF(Datos!E10&lt;&gt;"",Datos!E10,Datos!D10)</f>
        <v>37</v>
      </c>
      <c r="H10" s="226">
        <f>IF(ISNUMBER(Datos!L10),Datos!L10," - ")</f>
        <v>124</v>
      </c>
      <c r="I10" s="1043" t="str">
        <f>IF(ISNUMBER(Datos!AS10/Datos!BM10),Datos!AS10/Datos!BM10," - ")</f>
        <v xml:space="preserve"> - </v>
      </c>
      <c r="J10" s="1044">
        <f>IF(ISNUMBER(Datos!BY10/Datos!CN10),Datos!BY10/Datos!CN10," - ")</f>
        <v>0</v>
      </c>
      <c r="K10" s="229">
        <f t="shared" ref="K10:K12" si="1">IF(ISNUMBER((E10-F10)/C10),(E10-F10)/C10," - ")</f>
        <v>6.8965517241379309E-2</v>
      </c>
      <c r="L10" s="1024">
        <f>IF(ISNUMBER(NºAsuntos!I10/NºAsuntos!G10),(NºAsuntos!I10/NºAsuntos!G10)*11," - ")</f>
        <v>42.625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44.589524969549323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116</v>
      </c>
      <c r="D13" s="1048">
        <f>SUBTOTAL(9,D9:D12)</f>
        <v>116</v>
      </c>
      <c r="E13" s="1049">
        <f>SUBTOTAL(9,E9:E12)</f>
        <v>40</v>
      </c>
      <c r="F13" s="1050">
        <f>SUBTOTAL(9,F9:F12)</f>
        <v>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2977</v>
      </c>
      <c r="D16" s="224">
        <f>IF(ISNUMBER(IF(D_I="SI",Datos!I16,Datos!I16+Datos!AC16)),IF(D_I="SI",Datos!I16,Datos!I16+Datos!AC16)," - ")</f>
        <v>2972</v>
      </c>
      <c r="E16" s="225">
        <f>IF(ISNUMBER(IF(D_I="SI",Datos!J16,Datos!J16+Datos!AD16)),IF(D_I="SI",Datos!J16,Datos!J16+Datos!AD16)," - ")</f>
        <v>2192</v>
      </c>
      <c r="F16" s="225">
        <f>IF(ISNUMBER(IF(D_I="SI",Datos!K16,Datos!K16+Datos!AE16)),IF(D_I="SI",Datos!K16,Datos!K16+Datos!AE16)," - ")</f>
        <v>2054</v>
      </c>
      <c r="G16" s="1033" t="str">
        <f>IF(Datos!E16&lt;&gt;"",Datos!E16,Datos!D16)</f>
        <v>04</v>
      </c>
      <c r="H16" s="226">
        <f>IF(ISNUMBER(IF(D_I="SI",Datos!L16,Datos!L16+Datos!AF16)),IF(D_I="SI",Datos!L16,Datos!L16+Datos!AF16)," - ")</f>
        <v>3115</v>
      </c>
      <c r="I16" s="1043" t="str">
        <f>IF(ISNUMBER(Datos!AS16/Datos!BM16),Datos!AS16/Datos!BM16," - ")</f>
        <v xml:space="preserve"> - </v>
      </c>
      <c r="J16" s="1044">
        <f>IF(ISNUMBER(Datos!BY16/Datos!CN16),Datos!BY16/Datos!CN16," - ")</f>
        <v>0</v>
      </c>
      <c r="K16" s="229">
        <f t="shared" si="3"/>
        <v>4.6355391333557275E-2</v>
      </c>
      <c r="L16" s="1024">
        <f>IF(ISNUMBER(NºAsuntos!I16/NºAsuntos!G16),(NºAsuntos!I16/NºAsuntos!G16)*11," - ")</f>
        <v>16.682083739045765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369</v>
      </c>
      <c r="D17" s="224">
        <f>IF(ISNUMBER(IF(D_I="SI",Datos!I17,Datos!I17+Datos!AC17)),IF(D_I="SI",Datos!I17,Datos!I17+Datos!AC17)," - ")</f>
        <v>369</v>
      </c>
      <c r="E17" s="225">
        <f>IF(ISNUMBER(IF(D_I="SI",Datos!J17,Datos!J17+Datos!AD17)),IF(D_I="SI",Datos!J17,Datos!J17+Datos!AD17)," - ")</f>
        <v>101</v>
      </c>
      <c r="F17" s="225">
        <f>IF(ISNUMBER(IF(D_I="SI",Datos!K17,Datos!K17+Datos!AE17)),IF(D_I="SI",Datos!K17,Datos!K17+Datos!AE17)," - ")</f>
        <v>163</v>
      </c>
      <c r="G17" s="1033" t="str">
        <f>IF(Datos!E17&lt;&gt;"",Datos!E17,Datos!D17)</f>
        <v>37</v>
      </c>
      <c r="H17" s="226">
        <f>IF(ISNUMBER(IF(D_I="SI",Datos!L17,Datos!L17+Datos!AF17)),IF(D_I="SI",Datos!L17,Datos!L17+Datos!AF17)," - ")</f>
        <v>307</v>
      </c>
      <c r="I17" s="1043" t="str">
        <f>IF(ISNUMBER(Datos!AS17/Datos!BM17),Datos!AS17/Datos!BM17," - ")</f>
        <v xml:space="preserve"> - </v>
      </c>
      <c r="J17" s="1044" t="str">
        <f>IF(ISNUMBER((Datos!BY17+Datos!BZ17)/Datos!CN17),(Datos!BY17+Datos!BZ17)/Datos!CN17," - ")</f>
        <v xml:space="preserve"> - </v>
      </c>
      <c r="K17" s="229">
        <f t="shared" si="3"/>
        <v>-0.16802168021680217</v>
      </c>
      <c r="L17" s="1024">
        <f>IF(ISNUMBER(NºAsuntos!I17/NºAsuntos!G17),(NºAsuntos!I17/NºAsuntos!G17)*11," - ")</f>
        <v>20.717791411042946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3346</v>
      </c>
      <c r="D18" s="1048">
        <f>SUBTOTAL(9,D15:D17)</f>
        <v>3341</v>
      </c>
      <c r="E18" s="1049">
        <f>SUBTOTAL(9,E15:E17)</f>
        <v>2293</v>
      </c>
      <c r="F18" s="1049">
        <f>SUBTOTAL(9,F15:F17)</f>
        <v>2217</v>
      </c>
      <c r="G18" s="1051" t="str">
        <f ca="1">INDIRECT(CONCATENATE("G",ROW()-1))</f>
        <v>37</v>
      </c>
      <c r="H18" s="1052">
        <f ca="1">SUMIF(G$14:G17,G18,H$14:H17)</f>
        <v>307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3462</v>
      </c>
      <c r="D19" s="1070">
        <f>SUBTOTAL(9,D9:D18)</f>
        <v>3457</v>
      </c>
      <c r="E19" s="1071">
        <f>SUBTOTAL(9,E9:E18)</f>
        <v>2333</v>
      </c>
      <c r="F19" s="1071">
        <f>SUBTOTAL(9,F9:F18)</f>
        <v>2249</v>
      </c>
      <c r="G19" s="1072"/>
      <c r="H19" s="1073">
        <f ca="1">SUMIF(B9:B18,"TOTAL",H9:H18)</f>
        <v>307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ozCmHqh6egqvcWRBPze0zZSbaa635SQLLutPp9k/NSafwM77/sZoHX5Ra9sYlceOD+5FORSObodENXQX55faQ==" saltValue="Mr8yxHx4tyMfnlwlxaAqg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J8OWYWIkxqPxY4YAKA9A5tRINwfL6Sx5hElNf9NMgfLqAMDB6dv7Kiajx6zLyfe0rO/MIWol75mv3nkq4+iGw==" saltValue="2eVbn7CBpQ+/p2BGa83C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116</v>
      </c>
      <c r="J10" s="180">
        <v>40</v>
      </c>
      <c r="K10" s="180">
        <v>32</v>
      </c>
      <c r="L10" s="180">
        <v>124</v>
      </c>
      <c r="M10" s="180">
        <v>8</v>
      </c>
      <c r="N10" s="180">
        <v>9</v>
      </c>
      <c r="O10" s="180">
        <v>20</v>
      </c>
      <c r="P10" s="180">
        <v>13</v>
      </c>
      <c r="Q10" s="180">
        <v>13</v>
      </c>
      <c r="R10" s="180">
        <v>139</v>
      </c>
      <c r="S10" s="180">
        <v>98</v>
      </c>
      <c r="T10" s="180">
        <v>24</v>
      </c>
      <c r="U10" s="180">
        <v>12</v>
      </c>
      <c r="V10" s="180">
        <v>110</v>
      </c>
      <c r="W10" s="180">
        <v>4</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98</v>
      </c>
      <c r="AZ10" s="129">
        <f t="shared" si="0"/>
        <v>24</v>
      </c>
      <c r="BA10" s="129">
        <f t="shared" si="0"/>
        <v>12</v>
      </c>
      <c r="BB10" s="129">
        <f t="shared" si="0"/>
        <v>110</v>
      </c>
      <c r="BC10" s="125">
        <f t="shared" si="0"/>
        <v>4</v>
      </c>
      <c r="BD10" s="126">
        <f>IF(ISNUMBER(BA10/AZ10),BA10/AZ10," - ")</f>
        <v>0.5</v>
      </c>
      <c r="BE10" s="127">
        <f>IF(ISNUMBER(BB10/BA10),BB10/BA10, " - ")</f>
        <v>9.1666666666666661</v>
      </c>
      <c r="BF10" s="127">
        <f>IF(ISNUMBER(BC10/BA10),BC10/BA10, " - ")</f>
        <v>0.33333333333333331</v>
      </c>
      <c r="BG10" s="195">
        <f>IF(ISNUMBER((AY10+AZ10)/BA10),(AY10+AZ10)/BA10," - ")</f>
        <v>10.166666666666666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6292</v>
      </c>
      <c r="J12" s="182">
        <v>1409</v>
      </c>
      <c r="K12" s="182">
        <v>1418</v>
      </c>
      <c r="L12" s="182">
        <v>6283</v>
      </c>
      <c r="M12" s="182">
        <v>256</v>
      </c>
      <c r="N12" s="182">
        <v>913</v>
      </c>
      <c r="O12" s="180">
        <v>663</v>
      </c>
      <c r="P12" s="182">
        <v>696</v>
      </c>
      <c r="Q12" s="182">
        <v>256</v>
      </c>
      <c r="R12" s="182">
        <v>9153</v>
      </c>
      <c r="S12" s="182">
        <v>6128</v>
      </c>
      <c r="T12" s="182">
        <v>1988</v>
      </c>
      <c r="U12" s="182">
        <v>1808</v>
      </c>
      <c r="V12" s="182">
        <v>6308</v>
      </c>
      <c r="W12" s="182">
        <v>410</v>
      </c>
      <c r="X12" s="188">
        <v>999</v>
      </c>
      <c r="Y12" s="190">
        <v>368</v>
      </c>
      <c r="Z12" s="180">
        <v>229</v>
      </c>
      <c r="AA12" s="180">
        <v>224</v>
      </c>
      <c r="AB12" s="180">
        <v>373</v>
      </c>
      <c r="AC12" s="182">
        <v>0</v>
      </c>
      <c r="AD12" s="182">
        <v>0</v>
      </c>
      <c r="AE12" s="182">
        <v>0</v>
      </c>
      <c r="AF12" s="188">
        <v>0</v>
      </c>
      <c r="AG12" s="201">
        <v>398</v>
      </c>
      <c r="AH12" s="182">
        <v>149</v>
      </c>
      <c r="AI12" s="182">
        <v>186</v>
      </c>
      <c r="AJ12" s="202">
        <v>367</v>
      </c>
      <c r="AK12" s="181">
        <v>0</v>
      </c>
      <c r="AL12" s="182">
        <v>0</v>
      </c>
      <c r="AM12" s="182">
        <v>0</v>
      </c>
      <c r="AN12" s="188">
        <v>0</v>
      </c>
      <c r="AO12" s="258">
        <v>7</v>
      </c>
      <c r="AP12" s="154">
        <v>7</v>
      </c>
      <c r="AQ12" s="154">
        <v>7</v>
      </c>
      <c r="AR12" s="153">
        <v>7</v>
      </c>
      <c r="AS12" s="339" t="s">
        <v>794</v>
      </c>
      <c r="AT12" s="202"/>
      <c r="AU12" s="201"/>
      <c r="AV12" s="202"/>
      <c r="AW12" s="201"/>
      <c r="AX12" s="202"/>
      <c r="AY12" s="126">
        <f t="shared" si="1"/>
        <v>6526</v>
      </c>
      <c r="AZ12" s="127">
        <f t="shared" si="1"/>
        <v>2137</v>
      </c>
      <c r="BA12" s="127">
        <f t="shared" si="1"/>
        <v>1994</v>
      </c>
      <c r="BB12" s="127">
        <f t="shared" si="1"/>
        <v>6675</v>
      </c>
      <c r="BC12" s="125">
        <f>IF(ISNUMBER(X12),X12," - ")</f>
        <v>999</v>
      </c>
      <c r="BD12" s="126">
        <f t="shared" si="2"/>
        <v>0.93308376228357515</v>
      </c>
      <c r="BE12" s="127">
        <f t="shared" si="3"/>
        <v>3.3475426278836511</v>
      </c>
      <c r="BF12" s="127">
        <f t="shared" si="4"/>
        <v>0.50100300902708128</v>
      </c>
      <c r="BG12" s="195">
        <f t="shared" si="5"/>
        <v>4.3445336008024071</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6408</v>
      </c>
      <c r="J13" s="183">
        <f t="shared" si="6"/>
        <v>1449</v>
      </c>
      <c r="K13" s="183">
        <f t="shared" si="6"/>
        <v>1450</v>
      </c>
      <c r="L13" s="183">
        <f t="shared" si="6"/>
        <v>6407</v>
      </c>
      <c r="M13" s="183">
        <f t="shared" si="6"/>
        <v>264</v>
      </c>
      <c r="N13" s="183">
        <f t="shared" si="6"/>
        <v>922</v>
      </c>
      <c r="O13" s="183">
        <f t="shared" si="6"/>
        <v>683</v>
      </c>
      <c r="P13" s="183">
        <f t="shared" si="6"/>
        <v>709</v>
      </c>
      <c r="Q13" s="183">
        <f t="shared" si="6"/>
        <v>269</v>
      </c>
      <c r="R13" s="183">
        <f t="shared" si="6"/>
        <v>9292</v>
      </c>
      <c r="S13" s="183">
        <f t="shared" si="6"/>
        <v>6226</v>
      </c>
      <c r="T13" s="183">
        <f t="shared" si="6"/>
        <v>2012</v>
      </c>
      <c r="U13" s="183">
        <f t="shared" si="6"/>
        <v>1820</v>
      </c>
      <c r="V13" s="183">
        <f t="shared" si="6"/>
        <v>6418</v>
      </c>
      <c r="W13" s="183">
        <f t="shared" si="6"/>
        <v>414</v>
      </c>
      <c r="X13" s="183">
        <f t="shared" si="6"/>
        <v>1004</v>
      </c>
      <c r="Y13" s="183">
        <f t="shared" si="6"/>
        <v>368</v>
      </c>
      <c r="Z13" s="183">
        <f t="shared" si="6"/>
        <v>229</v>
      </c>
      <c r="AA13" s="183">
        <f t="shared" si="6"/>
        <v>224</v>
      </c>
      <c r="AB13" s="183">
        <f t="shared" si="6"/>
        <v>373</v>
      </c>
      <c r="AC13" s="183">
        <f t="shared" si="6"/>
        <v>0</v>
      </c>
      <c r="AD13" s="183">
        <f t="shared" si="6"/>
        <v>0</v>
      </c>
      <c r="AE13" s="183">
        <f t="shared" si="6"/>
        <v>0</v>
      </c>
      <c r="AF13" s="183">
        <f>SUBTOTAL(9,AF9:AF12)</f>
        <v>0</v>
      </c>
      <c r="AG13" s="183">
        <f t="shared" ref="AG13:AT13" si="7">SUBTOTAL(9,AG8:AG12)</f>
        <v>398</v>
      </c>
      <c r="AH13" s="183">
        <f t="shared" si="7"/>
        <v>149</v>
      </c>
      <c r="AI13" s="183">
        <f t="shared" si="7"/>
        <v>186</v>
      </c>
      <c r="AJ13" s="183">
        <f t="shared" si="7"/>
        <v>367</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6624</v>
      </c>
      <c r="AZ13" s="183">
        <f>SUBTOTAL(9,AZ8:AZ12)</f>
        <v>2161</v>
      </c>
      <c r="BA13" s="183">
        <f>SUBTOTAL(9,BA8:BA12)</f>
        <v>2006</v>
      </c>
      <c r="BB13" s="183">
        <f>SUBTOTAL(9,BB8:BB12)</f>
        <v>6785</v>
      </c>
      <c r="BC13" s="183">
        <f>SUBTOTAL(9,BC8:BC12)</f>
        <v>1003</v>
      </c>
      <c r="BD13" s="204">
        <f>IF(ISNUMBER(BA13/AZ13),BA13/AZ13," - ")</f>
        <v>0.92827394724664503</v>
      </c>
      <c r="BE13" s="205">
        <f>IF(ISNUMBER(BB13/BA13),BB13/BA13, " - ")</f>
        <v>3.3823529411764706</v>
      </c>
      <c r="BF13" s="205">
        <f>IF(ISNUMBER(BC13/BA13),BC13/BA13, " - ")</f>
        <v>0.5</v>
      </c>
      <c r="BG13" s="206">
        <f>IF(ISNUMBER((AY13+AZ13)/BA13),(AY13+AZ13)/BA13," - ")</f>
        <v>4.3793619142572284</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2972</v>
      </c>
      <c r="J16" s="182">
        <v>2192</v>
      </c>
      <c r="K16" s="182">
        <v>2054</v>
      </c>
      <c r="L16" s="182">
        <v>3115</v>
      </c>
      <c r="M16" s="182">
        <v>170</v>
      </c>
      <c r="N16" s="182">
        <v>1447</v>
      </c>
      <c r="O16" s="180">
        <v>21</v>
      </c>
      <c r="P16" s="182">
        <v>29</v>
      </c>
      <c r="Q16" s="182">
        <v>38</v>
      </c>
      <c r="R16" s="182">
        <v>244</v>
      </c>
      <c r="S16" s="182">
        <v>3062</v>
      </c>
      <c r="T16" s="182">
        <v>1952</v>
      </c>
      <c r="U16" s="182">
        <v>2134</v>
      </c>
      <c r="V16" s="182">
        <v>2895</v>
      </c>
      <c r="W16" s="182">
        <v>209</v>
      </c>
      <c r="X16" s="188">
        <v>1339</v>
      </c>
      <c r="Y16" s="201">
        <v>0</v>
      </c>
      <c r="Z16" s="182">
        <v>0</v>
      </c>
      <c r="AA16" s="182">
        <v>0</v>
      </c>
      <c r="AB16" s="182">
        <v>0</v>
      </c>
      <c r="AC16" s="182">
        <v>29</v>
      </c>
      <c r="AD16" s="182">
        <v>86</v>
      </c>
      <c r="AE16" s="182">
        <v>80</v>
      </c>
      <c r="AF16" s="188">
        <v>35</v>
      </c>
      <c r="AG16" s="201">
        <v>0</v>
      </c>
      <c r="AH16" s="182">
        <v>0</v>
      </c>
      <c r="AI16" s="182">
        <v>0</v>
      </c>
      <c r="AJ16" s="202">
        <v>0</v>
      </c>
      <c r="AK16" s="181">
        <v>7</v>
      </c>
      <c r="AL16" s="182">
        <v>136</v>
      </c>
      <c r="AM16" s="182">
        <v>143</v>
      </c>
      <c r="AN16" s="188">
        <v>0</v>
      </c>
      <c r="AO16" s="258">
        <v>7</v>
      </c>
      <c r="AP16" s="154">
        <v>7</v>
      </c>
      <c r="AQ16" s="154">
        <v>7</v>
      </c>
      <c r="AR16" s="154">
        <v>7</v>
      </c>
      <c r="AS16" s="339" t="s">
        <v>487</v>
      </c>
      <c r="AT16" s="202"/>
      <c r="AU16" s="201"/>
      <c r="AV16" s="202"/>
      <c r="AW16" s="201"/>
      <c r="AX16" s="202"/>
      <c r="AY16" s="126">
        <f t="shared" si="9"/>
        <v>3062</v>
      </c>
      <c r="AZ16" s="127">
        <f t="shared" si="9"/>
        <v>1952</v>
      </c>
      <c r="BA16" s="127">
        <f t="shared" si="9"/>
        <v>2134</v>
      </c>
      <c r="BB16" s="127">
        <f t="shared" si="9"/>
        <v>2895</v>
      </c>
      <c r="BC16" s="125">
        <f>IF(ISNUMBER(W16),W16," - ")</f>
        <v>209</v>
      </c>
      <c r="BD16" s="126">
        <f t="shared" ref="BD16" si="11">IF(ISNUMBER(BA16/AZ16),BA16/AZ16," - ")</f>
        <v>1.0932377049180328</v>
      </c>
      <c r="BE16" s="127">
        <f t="shared" ref="BE16" si="12">IF(ISNUMBER(BB16/BA16),BB16/BA16, " - ")</f>
        <v>1.3566073102155576</v>
      </c>
      <c r="BF16" s="127">
        <f t="shared" ref="BF16" si="13">IF(ISNUMBER(BC16/BA16),BC16/BA16, " - ")</f>
        <v>9.7938144329896906E-2</v>
      </c>
      <c r="BG16" s="195">
        <f t="shared" si="10"/>
        <v>2.3495782567947519</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369</v>
      </c>
      <c r="J17" s="182">
        <v>101</v>
      </c>
      <c r="K17" s="182">
        <v>163</v>
      </c>
      <c r="L17" s="182">
        <v>307</v>
      </c>
      <c r="M17" s="182">
        <v>12</v>
      </c>
      <c r="N17" s="182">
        <v>112</v>
      </c>
      <c r="O17" s="182">
        <v>0</v>
      </c>
      <c r="P17" s="182">
        <v>2</v>
      </c>
      <c r="Q17" s="182">
        <v>0</v>
      </c>
      <c r="R17" s="182">
        <v>6</v>
      </c>
      <c r="S17" s="182">
        <v>368</v>
      </c>
      <c r="T17" s="182">
        <v>118</v>
      </c>
      <c r="U17" s="182">
        <v>81</v>
      </c>
      <c r="V17" s="182">
        <v>405</v>
      </c>
      <c r="W17" s="182">
        <v>11</v>
      </c>
      <c r="X17" s="188">
        <v>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368</v>
      </c>
      <c r="AZ17" s="129">
        <f t="shared" si="14"/>
        <v>118</v>
      </c>
      <c r="BA17" s="129">
        <f t="shared" si="14"/>
        <v>81</v>
      </c>
      <c r="BB17" s="129">
        <f t="shared" si="14"/>
        <v>405</v>
      </c>
      <c r="BC17" s="125">
        <f>IF(ISNUMBER(W17),W17," - ")</f>
        <v>11</v>
      </c>
      <c r="BD17" s="126">
        <f>IF(ISNUMBER(BA17/AZ17),BA17/AZ17," - ")</f>
        <v>0.68644067796610164</v>
      </c>
      <c r="BE17" s="127">
        <f>IF(ISNUMBER(BB17/BA17),BB17/BA17, " - ")</f>
        <v>5</v>
      </c>
      <c r="BF17" s="127">
        <f>IF(ISNUMBER(BC17/BA17),BC17/BA17, " - ")</f>
        <v>0.13580246913580246</v>
      </c>
      <c r="BG17" s="195">
        <f>IF(ISNUMBER((AY17+AZ17)/BA17),(AY17+AZ17)/BA17," - ")</f>
        <v>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3341</v>
      </c>
      <c r="J18" s="183">
        <f t="shared" si="15"/>
        <v>2293</v>
      </c>
      <c r="K18" s="183">
        <f t="shared" si="15"/>
        <v>2217</v>
      </c>
      <c r="L18" s="183">
        <f t="shared" si="15"/>
        <v>3422</v>
      </c>
      <c r="M18" s="183">
        <f t="shared" si="15"/>
        <v>182</v>
      </c>
      <c r="N18" s="183">
        <f t="shared" si="15"/>
        <v>1559</v>
      </c>
      <c r="O18" s="183">
        <f t="shared" si="15"/>
        <v>21</v>
      </c>
      <c r="P18" s="183">
        <f t="shared" si="15"/>
        <v>31</v>
      </c>
      <c r="Q18" s="183">
        <f t="shared" si="15"/>
        <v>38</v>
      </c>
      <c r="R18" s="183">
        <f t="shared" si="15"/>
        <v>250</v>
      </c>
      <c r="S18" s="183">
        <f t="shared" si="15"/>
        <v>3430</v>
      </c>
      <c r="T18" s="183">
        <f t="shared" si="15"/>
        <v>2070</v>
      </c>
      <c r="U18" s="183">
        <f t="shared" si="15"/>
        <v>2215</v>
      </c>
      <c r="V18" s="183">
        <f t="shared" si="15"/>
        <v>3300</v>
      </c>
      <c r="W18" s="183">
        <f t="shared" si="15"/>
        <v>220</v>
      </c>
      <c r="X18" s="183">
        <f t="shared" si="15"/>
        <v>1376</v>
      </c>
      <c r="Y18" s="183">
        <f t="shared" si="15"/>
        <v>0</v>
      </c>
      <c r="Z18" s="183">
        <f t="shared" si="15"/>
        <v>0</v>
      </c>
      <c r="AA18" s="183">
        <f t="shared" si="15"/>
        <v>0</v>
      </c>
      <c r="AB18" s="183">
        <f t="shared" si="15"/>
        <v>0</v>
      </c>
      <c r="AC18" s="183">
        <f t="shared" si="15"/>
        <v>29</v>
      </c>
      <c r="AD18" s="183">
        <f t="shared" si="15"/>
        <v>86</v>
      </c>
      <c r="AE18" s="183">
        <f t="shared" si="15"/>
        <v>80</v>
      </c>
      <c r="AF18" s="183">
        <f t="shared" si="15"/>
        <v>35</v>
      </c>
      <c r="AG18" s="183">
        <f t="shared" si="15"/>
        <v>0</v>
      </c>
      <c r="AH18" s="183">
        <f t="shared" si="15"/>
        <v>0</v>
      </c>
      <c r="AI18" s="183">
        <f t="shared" si="15"/>
        <v>0</v>
      </c>
      <c r="AJ18" s="183">
        <f t="shared" si="15"/>
        <v>0</v>
      </c>
      <c r="AK18" s="183">
        <f t="shared" si="15"/>
        <v>7</v>
      </c>
      <c r="AL18" s="183">
        <f t="shared" si="15"/>
        <v>136</v>
      </c>
      <c r="AM18" s="183">
        <f t="shared" si="15"/>
        <v>143</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3430</v>
      </c>
      <c r="AZ18" s="183">
        <f>SUBTOTAL(9,AZ14:AZ17)</f>
        <v>2070</v>
      </c>
      <c r="BA18" s="183">
        <f>SUBTOTAL(9,BA14:BA17)</f>
        <v>2215</v>
      </c>
      <c r="BB18" s="183">
        <f>SUBTOTAL(9,BB14:BB17)</f>
        <v>3300</v>
      </c>
      <c r="BC18" s="183">
        <f>SUBTOTAL(9,BC14:BC17)</f>
        <v>220</v>
      </c>
      <c r="BD18" s="204">
        <f>IF(ISNUMBER(BA18/AZ18),BA18/AZ18," - ")</f>
        <v>1.0700483091787441</v>
      </c>
      <c r="BE18" s="205">
        <f>IF(ISNUMBER(BB18/BA18),BB18/BA18, " - ")</f>
        <v>1.489841986455982</v>
      </c>
      <c r="BF18" s="205">
        <f>IF(ISNUMBER(BC18/BA18),BC18/BA18, " - ")</f>
        <v>9.9322799097065456E-2</v>
      </c>
      <c r="BG18" s="206">
        <f>IF(ISNUMBER((AY18+AZ18)/BA18),(AY18+AZ18)/BA18," - ")</f>
        <v>2.4830699774266365</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9749</v>
      </c>
      <c r="J19" s="134">
        <f t="shared" si="18"/>
        <v>3742</v>
      </c>
      <c r="K19" s="134">
        <f t="shared" si="18"/>
        <v>3667</v>
      </c>
      <c r="L19" s="134">
        <f t="shared" si="18"/>
        <v>9829</v>
      </c>
      <c r="M19" s="134">
        <f t="shared" si="18"/>
        <v>446</v>
      </c>
      <c r="N19" s="134">
        <f t="shared" si="18"/>
        <v>2481</v>
      </c>
      <c r="O19" s="134">
        <f t="shared" si="18"/>
        <v>704</v>
      </c>
      <c r="P19" s="134">
        <f t="shared" si="18"/>
        <v>740</v>
      </c>
      <c r="Q19" s="134">
        <f t="shared" si="18"/>
        <v>307</v>
      </c>
      <c r="R19" s="134">
        <f t="shared" si="18"/>
        <v>9542</v>
      </c>
      <c r="S19" s="134">
        <f t="shared" si="18"/>
        <v>9656</v>
      </c>
      <c r="T19" s="134">
        <f t="shared" si="18"/>
        <v>4082</v>
      </c>
      <c r="U19" s="134">
        <f t="shared" si="18"/>
        <v>4035</v>
      </c>
      <c r="V19" s="134">
        <f t="shared" si="18"/>
        <v>9718</v>
      </c>
      <c r="W19" s="134">
        <f t="shared" si="18"/>
        <v>634</v>
      </c>
      <c r="X19" s="134">
        <f t="shared" si="18"/>
        <v>2380</v>
      </c>
      <c r="Y19" s="134">
        <f t="shared" si="18"/>
        <v>368</v>
      </c>
      <c r="Z19" s="134">
        <f t="shared" si="18"/>
        <v>229</v>
      </c>
      <c r="AA19" s="134">
        <f t="shared" si="18"/>
        <v>224</v>
      </c>
      <c r="AB19" s="134">
        <f t="shared" si="18"/>
        <v>373</v>
      </c>
      <c r="AC19" s="134">
        <f t="shared" si="18"/>
        <v>29</v>
      </c>
      <c r="AD19" s="134">
        <f t="shared" si="18"/>
        <v>86</v>
      </c>
      <c r="AE19" s="134">
        <f t="shared" si="18"/>
        <v>80</v>
      </c>
      <c r="AF19" s="134">
        <f t="shared" si="18"/>
        <v>35</v>
      </c>
      <c r="AG19" s="134">
        <f t="shared" si="18"/>
        <v>398</v>
      </c>
      <c r="AH19" s="134">
        <f t="shared" si="18"/>
        <v>149</v>
      </c>
      <c r="AI19" s="134">
        <f t="shared" si="18"/>
        <v>186</v>
      </c>
      <c r="AJ19" s="134">
        <f t="shared" si="18"/>
        <v>367</v>
      </c>
      <c r="AK19" s="134">
        <f t="shared" si="18"/>
        <v>7</v>
      </c>
      <c r="AL19" s="134">
        <f t="shared" si="18"/>
        <v>136</v>
      </c>
      <c r="AM19" s="134">
        <f t="shared" si="18"/>
        <v>143</v>
      </c>
      <c r="AN19" s="209">
        <f t="shared" si="18"/>
        <v>0</v>
      </c>
      <c r="AO19" s="210">
        <v>8</v>
      </c>
      <c r="AP19" s="210">
        <v>7</v>
      </c>
      <c r="AQ19" s="210">
        <v>7</v>
      </c>
      <c r="AR19" s="210">
        <v>7</v>
      </c>
      <c r="AS19" s="152">
        <f t="shared" si="18"/>
        <v>0</v>
      </c>
      <c r="AT19" s="152">
        <f t="shared" si="18"/>
        <v>0</v>
      </c>
      <c r="AU19" s="210"/>
      <c r="AV19" s="211"/>
      <c r="AW19" s="210"/>
      <c r="AX19" s="211"/>
      <c r="AY19" s="133">
        <f>SUBTOTAL(9,AY9:AY18)</f>
        <v>10054</v>
      </c>
      <c r="AZ19" s="134">
        <f>SUBTOTAL(9,AZ9:AZ18)</f>
        <v>4231</v>
      </c>
      <c r="BA19" s="134">
        <f>SUBTOTAL(9,BA9:BA18)</f>
        <v>4221</v>
      </c>
      <c r="BB19" s="134">
        <f>SUBTOTAL(9,BB9:BB18)</f>
        <v>10085</v>
      </c>
      <c r="BC19" s="135">
        <f>SUBTOTAL(9,BC9:BC18)</f>
        <v>1223</v>
      </c>
      <c r="BD19" s="212">
        <f>IF(ISNUMBER(BA19/AZ19),BA19/AZ19," - ")</f>
        <v>0.99763649255495157</v>
      </c>
      <c r="BE19" s="209">
        <f>IF(ISNUMBER(BB19/BA19),BB19/BA19, " - ")</f>
        <v>2.3892442549158965</v>
      </c>
      <c r="BF19" s="209">
        <f>IF(ISNUMBER(BC19/BA19),BC19/BA19, " - ")</f>
        <v>0.28974176735370766</v>
      </c>
      <c r="BG19" s="135">
        <f>IF(ISNUMBER((AY19+AZ19)/BA19),(AY19+AZ19)/BA19," - ")</f>
        <v>3.3842691305377874</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T6bc2FlpNn2SCXZlQzeEdGkbkUrSuuO+AhhLC7J/Lp5Fio4ie0JKTsYc10tj4v/+05DGb52XS5HuqE01hfcsw==" saltValue="fwvaJTFKgUpuiZu9eWq96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zqNvGtY+CYVrbYJBLQV9Ut8Z27muQU3GQ0KHCC+Gby5rhtGhh9SZJ2FmnPoxkkMBuElHD+mMGUxfe641RtcfQ==" saltValue="62y429G7Kkd9iiglIVupy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MARTORELL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116</v>
      </c>
      <c r="G10" s="332">
        <f>IF(ISNUMBER(Datos!I10),Datos!I10," - ")</f>
        <v>116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v>
      </c>
      <c r="AC10" s="225">
        <f>IF(ISNUMBER(Datos!Q10),Datos!Q10," - ")</f>
        <v>13</v>
      </c>
      <c r="AD10" s="333"/>
      <c r="AE10" s="483"/>
      <c r="AF10" s="331">
        <f>IF(ISNUMBER(Datos!L10),Datos!L10,"-")</f>
        <v>124</v>
      </c>
      <c r="AG10" s="333"/>
      <c r="AH10" s="333"/>
      <c r="AI10" s="333"/>
      <c r="AJ10" s="333"/>
      <c r="AK10" s="333"/>
      <c r="AL10" s="478"/>
      <c r="AM10" s="334">
        <f>IF(ISNUMBER(Datos!R10),Datos!R10," - ")</f>
        <v>139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9</v>
      </c>
      <c r="BE10" s="228" t="str">
        <f>IF(ISNUMBER(Datos!BW10),Datos!BW10," - ")</f>
        <v xml:space="preserve"> - </v>
      </c>
      <c r="BF10" s="227" t="str">
        <f>IF(ISNUMBER(Datos!BX10),Datos!BX10," - ")</f>
        <v xml:space="preserve"> - </v>
      </c>
      <c r="BG10" s="242">
        <f>IF(ISNUMBER(Datos!K10/Datos!J10),Datos!K10/Datos!J10," - ")</f>
        <v>0.8</v>
      </c>
      <c r="BH10" s="259">
        <f>IF(ISNUMBER(((Datos!L10/Datos!K10)*11)/factor_trimestre),((Datos!L10/Datos!K10)*11)/factor_trimestre," - ")</f>
        <v>11.625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229</v>
      </c>
      <c r="O12" s="333"/>
      <c r="P12" s="333"/>
      <c r="Q12" s="225">
        <f>IF(ISNUMBER(Datos!P12),Datos!P12,0)</f>
        <v>696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373</v>
      </c>
      <c r="AI12" s="333" t="str">
        <f>IF(ISNUMBER(Datos!CD12),Datos!CD12,"-")</f>
        <v>-</v>
      </c>
      <c r="AJ12" s="333" t="str">
        <f>IF(ISNUMBER(Datos!EN12),Datos!EN12," - ")</f>
        <v xml:space="preserve"> - </v>
      </c>
      <c r="AK12" s="333"/>
      <c r="AL12" s="478"/>
      <c r="AM12" s="334">
        <f>IF(ISNUMBER(Datos!R12),Datos!R12," - ")</f>
        <v>9153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256</v>
      </c>
      <c r="BD12" s="228">
        <f>IF(ISNUMBER(Datos!N12),Datos!N12," - ")</f>
        <v>913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1.0024420024420024</v>
      </c>
      <c r="BH12" s="259">
        <f>IF(ISNUMBER(((IF(J_V="SI",Datos!L12/Datos!K12,(Datos!L12+Datos!AB12)/(Datos!K12+Datos!AA12)))*11)/factor_trimestre),((IF(J_V="SI",Datos!L12/Datos!K12,(Datos!L12+Datos!AB12)/(Datos!K12+Datos!AA12)))*11)/factor_trimestre," - ")</f>
        <v>12.160779537149816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5.0499253988293358E-2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116</v>
      </c>
      <c r="G13" s="897">
        <f t="shared" si="0"/>
        <v>116</v>
      </c>
      <c r="H13" s="898">
        <f t="shared" si="0"/>
        <v>0</v>
      </c>
      <c r="I13" s="897">
        <f t="shared" si="0"/>
        <v>0</v>
      </c>
      <c r="J13" s="866">
        <f t="shared" si="0"/>
        <v>0</v>
      </c>
      <c r="K13" s="866">
        <f t="shared" si="0"/>
        <v>0</v>
      </c>
      <c r="L13" s="898">
        <f t="shared" si="0"/>
        <v>0</v>
      </c>
      <c r="M13" s="898">
        <f t="shared" si="0"/>
        <v>0</v>
      </c>
      <c r="N13" s="898">
        <f t="shared" si="0"/>
        <v>229</v>
      </c>
      <c r="O13" s="899">
        <f t="shared" si="0"/>
        <v>0</v>
      </c>
      <c r="P13" s="899">
        <f t="shared" si="0"/>
        <v>0</v>
      </c>
      <c r="Q13" s="898">
        <f t="shared" si="0"/>
        <v>709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v>
      </c>
      <c r="AC13" s="898">
        <f t="shared" si="1"/>
        <v>269</v>
      </c>
      <c r="AD13" s="898">
        <f t="shared" si="1"/>
        <v>0</v>
      </c>
      <c r="AE13" s="898">
        <f t="shared" si="1"/>
        <v>0</v>
      </c>
      <c r="AF13" s="898">
        <f t="shared" si="1"/>
        <v>124</v>
      </c>
      <c r="AG13" s="898">
        <f t="shared" si="1"/>
        <v>0</v>
      </c>
      <c r="AH13" s="898">
        <f t="shared" si="1"/>
        <v>373</v>
      </c>
      <c r="AI13" s="898">
        <f t="shared" si="1"/>
        <v>0</v>
      </c>
      <c r="AJ13" s="898">
        <f t="shared" si="1"/>
        <v>0</v>
      </c>
      <c r="AK13" s="898">
        <f t="shared" si="1"/>
        <v>0</v>
      </c>
      <c r="AL13" s="898">
        <f t="shared" si="1"/>
        <v>0</v>
      </c>
      <c r="AM13" s="898">
        <f t="shared" si="1"/>
        <v>9292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264</v>
      </c>
      <c r="BD13" s="898">
        <f t="shared" si="1"/>
        <v>922</v>
      </c>
      <c r="BE13" s="898">
        <f t="shared" si="1"/>
        <v>0</v>
      </c>
      <c r="BF13" s="898">
        <f t="shared" si="1"/>
        <v>0</v>
      </c>
      <c r="BG13" s="898">
        <f>IF(ISNUMBER(Datos!K13/Datos!J13),Datos!K13/Datos!J13," - ")</f>
        <v>1.0006901311249137</v>
      </c>
      <c r="BH13" s="902">
        <f>IF(ISNUMBER(((Datos!L13/Datos!K13)*11)/factor_trimestre),((Datos!L13/Datos!K13)*11)/factor_trimestre," - ")</f>
        <v>13.25586206896552</v>
      </c>
      <c r="BI13" s="898">
        <f>IF(ISNUMBER('Resol  Asuntos'!D13/NºAsuntos!G13),'Resol  Asuntos'!D13/NºAsuntos!G13," - ")</f>
        <v>0.15770609318996415</v>
      </c>
      <c r="BJ13" s="898" t="str">
        <f>IF(ISNUMBER(Datos!CI13/Datos!CJ13),Datos!CI13/Datos!CJ13," - ")</f>
        <v xml:space="preserve"> - </v>
      </c>
      <c r="BK13" s="898">
        <f>SUBTOTAL(9,BK8:BK12)</f>
        <v>0</v>
      </c>
      <c r="BL13" s="898">
        <f>IF(ISNUMBER((I13-AB13+L13)/(F13)),(I13-AB13+L13)/(F13)," - ")</f>
        <v>-0.27586206896551724</v>
      </c>
      <c r="BM13" s="903">
        <f>SUBTOTAL(9,BM9:BM12)</f>
        <v>5.0499253988293358E-2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2977</v>
      </c>
      <c r="G16" s="597">
        <f>IF(ISNUMBER(IF(D_I="SI",Datos!I16,Datos!I16+Datos!AC16)),IF(D_I="SI",Datos!I16,Datos!I16+Datos!AC16)," - ")</f>
        <v>2972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2054</v>
      </c>
      <c r="AC16" s="225">
        <f>IF(ISNUMBER(Datos!Q16),Datos!Q16," - ")</f>
        <v>38</v>
      </c>
      <c r="AD16" s="333"/>
      <c r="AE16" s="483"/>
      <c r="AF16" s="595">
        <f>IF(ISNUMBER(IF(D_I="SI",Datos!L16,Datos!L16+Datos!AF16)),IF(D_I="SI",Datos!L16,Datos!L16+Datos!AF16)," - ")</f>
        <v>3115</v>
      </c>
      <c r="AG16" s="333"/>
      <c r="AH16" s="333"/>
      <c r="AI16" s="333"/>
      <c r="AJ16" s="333"/>
      <c r="AK16" s="333"/>
      <c r="AL16" s="478"/>
      <c r="AM16" s="334">
        <f>IF(ISNUMBER(Datos!R16),Datos!R16," - ")</f>
        <v>244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170</v>
      </c>
      <c r="BD16" s="228">
        <f>IF(ISNUMBER(Datos!N16),Datos!N16," - ")</f>
        <v>1447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0.93704379562043794</v>
      </c>
      <c r="BH16" s="259">
        <f>IF(ISNUMBER(((IF(D_I="SI",Datos!L16/Datos!K16,(Datos!L16+Datos!AF16)/(Datos!K16+Datos!AE16)))*11)/factor_trimestre),((IF(D_I="SI",Datos!L16/Datos!K16,(Datos!L16+Datos!AF16)/(Datos!K16+Datos!AE16)))*11)/factor_trimestre," - ")</f>
        <v>4.5496592015579358</v>
      </c>
      <c r="BI16" s="242">
        <f>IF(ISNUMBER('Resol  Asuntos'!D16/NºAsuntos!G16),'Resol  Asuntos'!D16/NºAsuntos!G16," - ")</f>
        <v>8.2765335929892894E-2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369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163</v>
      </c>
      <c r="AC17" s="225">
        <f>IF(ISNUMBER(Datos!Q17),Datos!Q17," - ")</f>
        <v>0</v>
      </c>
      <c r="AD17" s="333"/>
      <c r="AE17" s="483"/>
      <c r="AF17" s="331">
        <f>IF(ISNUMBER(Datos!L17),Datos!L17,"-")</f>
        <v>307</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112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1.613861386138614</v>
      </c>
      <c r="BH17" s="259">
        <f>IF(ISNUMBER(((IF(D_I="SI",Datos!L17/Datos!K17,(Datos!L17+Datos!AF17)/(Datos!K17+Datos!AE17)))*11)/factor_trimestre),((IF(D_I="SI",Datos!L17/Datos!K17,(Datos!L17+Datos!AF17)/(Datos!K17+Datos!AE17)))*11)/factor_trimestre," - ")</f>
        <v>5.6503067484662584</v>
      </c>
      <c r="BI17" s="242">
        <f>IF(ISNUMBER('Resol  Asuntos'!D17/NºAsuntos!G17),'Resol  Asuntos'!D17/NºAsuntos!G17," - ")</f>
        <v>7.3619631901840496E-2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2977</v>
      </c>
      <c r="G18" s="897">
        <f>SUBTOTAL(9,G15:G17)</f>
        <v>3341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2217</v>
      </c>
      <c r="AC18" s="898">
        <f t="shared" si="4"/>
        <v>38</v>
      </c>
      <c r="AD18" s="898">
        <f t="shared" si="4"/>
        <v>0</v>
      </c>
      <c r="AE18" s="898">
        <f t="shared" si="4"/>
        <v>0</v>
      </c>
      <c r="AF18" s="898">
        <f t="shared" si="4"/>
        <v>3422</v>
      </c>
      <c r="AG18" s="898">
        <f t="shared" si="4"/>
        <v>0</v>
      </c>
      <c r="AH18" s="898">
        <f t="shared" si="4"/>
        <v>0</v>
      </c>
      <c r="AI18" s="898">
        <f t="shared" si="4"/>
        <v>0</v>
      </c>
      <c r="AJ18" s="898">
        <f t="shared" si="4"/>
        <v>0</v>
      </c>
      <c r="AK18" s="898">
        <f t="shared" si="4"/>
        <v>0</v>
      </c>
      <c r="AL18" s="898">
        <f t="shared" si="4"/>
        <v>0</v>
      </c>
      <c r="AM18" s="898">
        <f t="shared" si="4"/>
        <v>250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182</v>
      </c>
      <c r="BD18" s="898">
        <f t="shared" si="4"/>
        <v>1559</v>
      </c>
      <c r="BE18" s="898">
        <f t="shared" si="4"/>
        <v>0</v>
      </c>
      <c r="BF18" s="898">
        <f t="shared" si="4"/>
        <v>0</v>
      </c>
      <c r="BG18" s="898">
        <f>IF(ISNUMBER(Datos!K18/Datos!J18),Datos!K18/Datos!J18," - ")</f>
        <v>0.96685564762320109</v>
      </c>
      <c r="BH18" s="902">
        <f>IF(ISNUMBER(((Datos!L18/Datos!K18)*11)/factor_trimestre),((Datos!L18/Datos!K18)*11)/factor_trimestre," - ")</f>
        <v>4.6305818673883623</v>
      </c>
      <c r="BI18" s="898">
        <f>SUBTOTAL(9,BI15:BI17)</f>
        <v>0.15638496783173339</v>
      </c>
      <c r="BJ18" s="898">
        <f>SUBTOTAL(9,BJ15:BJ17)</f>
        <v>0</v>
      </c>
      <c r="BK18" s="898">
        <f>SUBTOTAL(9,BK15:BK17)</f>
        <v>0</v>
      </c>
      <c r="BL18" s="898">
        <f>IF(ISNUMBER((I18-AB18+L18)/(F18)),(I18-AB18+L18)/(F18)," - ")</f>
        <v>-0.74470943903258313</v>
      </c>
      <c r="BM18" s="904">
        <f>IF(ISNUMBER((Datos!P18-Datos!Q18)/(Datos!R18-Datos!P18+Datos!Q18)),(Datos!P18-Datos!Q18)/(Datos!R18-Datos!P18+Datos!Q18)," - ")</f>
        <v>-2.7237354085603113E-2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3093</v>
      </c>
      <c r="G19" s="819">
        <f t="shared" si="6"/>
        <v>3457</v>
      </c>
      <c r="H19" s="821">
        <f t="shared" si="6"/>
        <v>0</v>
      </c>
      <c r="I19" s="819">
        <f t="shared" si="6"/>
        <v>0</v>
      </c>
      <c r="J19" s="821">
        <f t="shared" si="6"/>
        <v>0</v>
      </c>
      <c r="K19" s="821">
        <f t="shared" si="6"/>
        <v>0</v>
      </c>
      <c r="L19" s="880">
        <f t="shared" si="6"/>
        <v>0</v>
      </c>
      <c r="M19" s="880">
        <f t="shared" si="6"/>
        <v>0</v>
      </c>
      <c r="N19" s="880">
        <f t="shared" si="6"/>
        <v>229</v>
      </c>
      <c r="O19" s="880">
        <f t="shared" si="6"/>
        <v>0</v>
      </c>
      <c r="P19" s="880">
        <f t="shared" si="6"/>
        <v>0</v>
      </c>
      <c r="Q19" s="821">
        <f t="shared" si="6"/>
        <v>740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2249</v>
      </c>
      <c r="AC19" s="820">
        <f t="shared" si="7"/>
        <v>307</v>
      </c>
      <c r="AD19" s="820">
        <f t="shared" si="7"/>
        <v>0</v>
      </c>
      <c r="AE19" s="820">
        <f t="shared" si="7"/>
        <v>0</v>
      </c>
      <c r="AF19" s="827">
        <f t="shared" si="7"/>
        <v>3546</v>
      </c>
      <c r="AG19" s="827">
        <f t="shared" si="7"/>
        <v>0</v>
      </c>
      <c r="AH19" s="827">
        <f t="shared" si="7"/>
        <v>373</v>
      </c>
      <c r="AI19" s="827">
        <f t="shared" si="7"/>
        <v>0</v>
      </c>
      <c r="AJ19" s="820">
        <f t="shared" si="7"/>
        <v>0</v>
      </c>
      <c r="AK19" s="827">
        <f t="shared" si="7"/>
        <v>0</v>
      </c>
      <c r="AL19" s="827">
        <f t="shared" si="7"/>
        <v>0</v>
      </c>
      <c r="AM19" s="827">
        <f t="shared" si="7"/>
        <v>9542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446</v>
      </c>
      <c r="BD19" s="819">
        <f t="shared" si="7"/>
        <v>2481</v>
      </c>
      <c r="BE19" s="819">
        <f t="shared" si="7"/>
        <v>0</v>
      </c>
      <c r="BF19" s="829">
        <f t="shared" si="7"/>
        <v>0</v>
      </c>
      <c r="BG19" s="914">
        <f>IF(ISNUMBER(Datos!K19/Datos!J19),Datos!K19/Datos!J19," - ")</f>
        <v>0.97995724211651525</v>
      </c>
      <c r="BH19" s="914">
        <f>IF(ISNUMBER(((Datos!L19/Datos!K19)*11)/factor_trimestre),((Datos!L19/Datos!K19)*11)/factor_trimestre," - ")</f>
        <v>8.0411780747204809</v>
      </c>
      <c r="BI19" s="812">
        <f>IF(ISNUMBER(Datos!J19/Datos!I19),Datos!J19/Datos!I19," - ")</f>
        <v>0.38383423940917016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-0.72712576786291627</v>
      </c>
      <c r="BM19" s="888">
        <f>IF(ISNUMBER((Datos!P19-Datos!Q19+R19)/(Datos!R19-Datos!P19+Datos!Q19-R19)),(Datos!P19-Datos!Q19+R19)/(Datos!R19-Datos!P19+Datos!Q19-R19)," - ")</f>
        <v>4.7535404544955535E-2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1382.8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1651.7991201515194</v>
      </c>
      <c r="G21" s="551">
        <f>IF(ISNUMBER(STDEV(G8:G18)),STDEV(G8:G18),"-")</f>
        <v>1627.6869170697416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1130.9532704758408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113.88883468833399</v>
      </c>
      <c r="BD21" s="550"/>
      <c r="BE21" s="550">
        <f>IF(ISNUMBER(STDEV(BE8:BE18)),STDEV(BE8:BE18),"-")</f>
        <v>0</v>
      </c>
      <c r="BF21" s="555">
        <f>IF(ISNUMBER(STDEV(BF8:BF18)),STDEV(BF8:BF18),"-")</f>
        <v>0</v>
      </c>
      <c r="BG21" s="774">
        <f>IF(ISNUMBER(STDEV(BG8:BG18)),STDEV(BG8:BG18),"-")</f>
        <v>0.28451088691585291</v>
      </c>
      <c r="BH21" s="775">
        <f>IF(ISNUMBER(STDEV(BH8:BH18)),STDEV(BH8:BH18),"-")</f>
        <v>4.1074739401131692</v>
      </c>
      <c r="BI21" s="248">
        <f>IF(ISNUMBER(STDEV(BI8:BI18)),STDEV(BI8:BI18),"-")</f>
        <v>4.5681862171985582E-2</v>
      </c>
      <c r="BJ21" s="229" t="str">
        <f>IF(ISNUMBER(BL21/BM21),BL21/BM21," - ")</f>
        <v xml:space="preserve"> - </v>
      </c>
      <c r="BK21" s="574"/>
      <c r="BL21" s="558">
        <f>IF(ISNUMBER(STDEV(BL8:BL18)),STDEV(BL8:BL18),"-")</f>
        <v>0.33152515471590105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JiIAq4O2y3BLPcbKs6/scLF/Kr7lXVd+4Cuy4sRt6/DWRR5al9Rw0c/gtJfpJ4W6Qmwc2CPJ3oB3FZ2gQNELA==" saltValue="eoRqPc+ocyDQCS6K2JZz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MARTORELL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116</v>
      </c>
      <c r="G10" s="224">
        <f>IF(ISNUMBER(Datos!I10),Datos!I10," - ")</f>
        <v>116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v>
      </c>
      <c r="Z10" s="618">
        <f>IF(ISNUMBER(Datos!Q10),Datos!Q10," - ")</f>
        <v>13</v>
      </c>
      <c r="AA10" s="331">
        <f>IF(ISNUMBER(Datos!L10),Datos!L10,"-")</f>
        <v>124</v>
      </c>
      <c r="AB10" s="333"/>
      <c r="AC10" s="333"/>
      <c r="AD10" s="483"/>
      <c r="AE10" s="483">
        <f>IF(ISNUMBER(Datos!R10),Datos!R10," - ")</f>
        <v>139</v>
      </c>
      <c r="AF10" s="228" t="str">
        <f>IF(ISNUMBER(Datos!BV10),Datos!BV10," - ")</f>
        <v xml:space="preserve"> - </v>
      </c>
      <c r="AG10" s="224" t="str">
        <f>IF(ISNUMBER(Datos!DV10),Datos!DV10," - ")</f>
        <v xml:space="preserve"> - </v>
      </c>
      <c r="AH10" s="297"/>
      <c r="AI10" s="226"/>
      <c r="AJ10" s="224">
        <f>IF(ISNUMBER(Datos!M10),Datos!M10," - ")</f>
        <v>8</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696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256</v>
      </c>
      <c r="AA12" s="331" t="str">
        <f>IF(ISNUMBER(IF(J_V="SI",Datos!L12,Datos!L12+Datos!AB12)-IF(Monitorios="SI",Datos!CD12,0)),
                          IF(J_V="SI",Datos!L12,Datos!L12+Datos!AB12)-IF(Monitorios="SI",Datos!CD12,0),
                          " - ")</f>
        <v xml:space="preserve"> - </v>
      </c>
      <c r="AB12" s="333"/>
      <c r="AC12" s="333"/>
      <c r="AD12" s="483"/>
      <c r="AE12" s="483">
        <f>IF(ISNUMBER(Datos!R12),Datos!R12," - ")</f>
        <v>9153</v>
      </c>
      <c r="AF12" s="228" t="str">
        <f>IF(ISNUMBER(Datos!BV12),Datos!BV12," - ")</f>
        <v xml:space="preserve"> - </v>
      </c>
      <c r="AG12" s="224" t="str">
        <f>IF(ISNUMBER(Datos!DV12),Datos!DV12," - ")</f>
        <v xml:space="preserve"> - </v>
      </c>
      <c r="AH12" s="297"/>
      <c r="AI12" s="226"/>
      <c r="AJ12" s="224">
        <f>IF(ISNUMBER(Datos!M12),Datos!M12," - ")</f>
        <v>256</v>
      </c>
      <c r="AK12" s="228">
        <f>IF(ISNUMBER(Datos!N12),Datos!N12," - ")</f>
        <v>913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12.160779537149816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5.0499253988293358E-2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116</v>
      </c>
      <c r="G13" s="897">
        <f>SUBTOTAL(9,G8:G12)</f>
        <v>116</v>
      </c>
      <c r="H13" s="907"/>
      <c r="I13" s="897">
        <f t="shared" ref="I13:N13" si="0">SUBTOTAL(9,I8:I12)</f>
        <v>0</v>
      </c>
      <c r="J13" s="866">
        <f t="shared" si="0"/>
        <v>0</v>
      </c>
      <c r="K13" s="907">
        <f t="shared" si="0"/>
        <v>0</v>
      </c>
      <c r="L13" s="907">
        <f t="shared" si="0"/>
        <v>0</v>
      </c>
      <c r="M13" s="907">
        <f t="shared" si="0"/>
        <v>0</v>
      </c>
      <c r="N13" s="907">
        <f t="shared" si="0"/>
        <v>709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v>
      </c>
      <c r="Z13" s="906">
        <f t="shared" si="2"/>
        <v>269</v>
      </c>
      <c r="AA13" s="899">
        <f t="shared" si="2"/>
        <v>124</v>
      </c>
      <c r="AB13" s="899">
        <f t="shared" si="2"/>
        <v>0</v>
      </c>
      <c r="AC13" s="899">
        <f t="shared" si="2"/>
        <v>0</v>
      </c>
      <c r="AD13" s="899">
        <f t="shared" si="2"/>
        <v>0</v>
      </c>
      <c r="AE13" s="899">
        <f t="shared" si="2"/>
        <v>9292</v>
      </c>
      <c r="AF13" s="907">
        <f t="shared" si="2"/>
        <v>0</v>
      </c>
      <c r="AG13" s="907">
        <f t="shared" si="2"/>
        <v>0</v>
      </c>
      <c r="AH13" s="907">
        <f t="shared" si="2"/>
        <v>0</v>
      </c>
      <c r="AI13" s="907">
        <f t="shared" si="2"/>
        <v>0</v>
      </c>
      <c r="AJ13" s="907">
        <f t="shared" si="2"/>
        <v>264</v>
      </c>
      <c r="AK13" s="907">
        <f t="shared" si="2"/>
        <v>922</v>
      </c>
      <c r="AL13" s="907">
        <f t="shared" si="2"/>
        <v>0</v>
      </c>
      <c r="AM13" s="907">
        <f t="shared" si="2"/>
        <v>0</v>
      </c>
      <c r="AN13" s="907">
        <f t="shared" si="2"/>
        <v>0</v>
      </c>
      <c r="AO13" s="903">
        <f>IF(ISNUMBER(((NºAsuntos!I13/NºAsuntos!G13)*11)/factor_trimestre),((NºAsuntos!I13/NºAsuntos!G13)*11)/factor_trimestre," - ")</f>
        <v>12.150537634408602</v>
      </c>
      <c r="AP13" s="909" t="str">
        <f>IF(ISNUMBER(Datos!CI13/Datos!CJ13),Datos!CI13/Datos!CJ13," - ")</f>
        <v xml:space="preserve"> - </v>
      </c>
      <c r="AQ13" s="927">
        <f t="shared" ref="AQ13:AV13" si="3">SUBTOTAL(9,AQ9:AQ12)</f>
        <v>0</v>
      </c>
      <c r="AR13" s="927">
        <f t="shared" si="3"/>
        <v>5.0499253988293358E-2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2977</v>
      </c>
      <c r="G16" s="224">
        <f>IF(ISNUMBER(IF(D_I="SI",Datos!I16,Datos!I16+Datos!AC16)),IF(D_I="SI",Datos!I16,Datos!I16+Datos!AC16)," - ")</f>
        <v>2972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2054</v>
      </c>
      <c r="Z16" s="618">
        <f>IF(ISNUMBER(Datos!Q16),Datos!Q16," - ")</f>
        <v>38</v>
      </c>
      <c r="AA16" s="331">
        <f>IF(ISNUMBER(IF(D_I="SI",Datos!L16,Datos!L16+Datos!AF16)),IF(D_I="SI",Datos!L16,Datos!L16+Datos!AF16)," - ")</f>
        <v>3115</v>
      </c>
      <c r="AB16" s="333"/>
      <c r="AC16" s="333"/>
      <c r="AD16" s="483"/>
      <c r="AE16" s="483">
        <f>IF(ISNUMBER(Datos!R16),Datos!R16," - ")</f>
        <v>244</v>
      </c>
      <c r="AF16" s="228" t="str">
        <f>IF(ISNUMBER(Datos!BV16),Datos!BV16," - ")</f>
        <v xml:space="preserve"> - </v>
      </c>
      <c r="AG16" s="224"/>
      <c r="AH16" s="297"/>
      <c r="AI16" s="226"/>
      <c r="AJ16" s="224">
        <f>IF(ISNUMBER(Datos!M16),Datos!M16," - ")</f>
        <v>170</v>
      </c>
      <c r="AK16" s="228">
        <f>IF(ISNUMBER(Datos!N16),Datos!N16," - ")</f>
        <v>1447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4.5496592015579358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369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163</v>
      </c>
      <c r="Z17" s="618">
        <f>IF(ISNUMBER(Datos!Q17),Datos!Q17," - ")</f>
        <v>0</v>
      </c>
      <c r="AA17" s="331">
        <f>IF(ISNUMBER(Datos!L17),Datos!L17,"-")</f>
        <v>307</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12</v>
      </c>
      <c r="AK17" s="228">
        <f>IF(ISNUMBER(Datos!N17),Datos!N17," - ")</f>
        <v>112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5.6503067484662584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2977</v>
      </c>
      <c r="G18" s="897">
        <f>SUBTOTAL(9,G15:G17)</f>
        <v>3341</v>
      </c>
      <c r="H18" s="931">
        <f>SUBTOTAL(9,H15:H17)</f>
        <v>0</v>
      </c>
      <c r="I18" s="910">
        <f>SUBTOTAL(9,I15:I17)</f>
        <v>0</v>
      </c>
      <c r="J18" s="866">
        <f>SUBTOTAL(9,J14:J17)</f>
        <v>0</v>
      </c>
      <c r="K18" s="931">
        <f t="shared" ref="K18:S18" si="4">SUBTOTAL(9,K15:K17)</f>
        <v>0</v>
      </c>
      <c r="L18" s="931">
        <f t="shared" si="4"/>
        <v>0</v>
      </c>
      <c r="M18" s="931">
        <f t="shared" si="4"/>
        <v>0</v>
      </c>
      <c r="N18" s="931">
        <f t="shared" si="4"/>
        <v>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2217</v>
      </c>
      <c r="Z18" s="931">
        <f t="shared" si="5"/>
        <v>38</v>
      </c>
      <c r="AA18" s="931">
        <f t="shared" si="5"/>
        <v>3422</v>
      </c>
      <c r="AB18" s="931">
        <f t="shared" si="5"/>
        <v>0</v>
      </c>
      <c r="AC18" s="931">
        <f t="shared" si="5"/>
        <v>0</v>
      </c>
      <c r="AD18" s="931">
        <f t="shared" si="5"/>
        <v>0</v>
      </c>
      <c r="AE18" s="931">
        <f t="shared" si="5"/>
        <v>250</v>
      </c>
      <c r="AF18" s="931">
        <f t="shared" si="5"/>
        <v>0</v>
      </c>
      <c r="AG18" s="931">
        <f t="shared" si="5"/>
        <v>0</v>
      </c>
      <c r="AH18" s="931">
        <f t="shared" si="5"/>
        <v>0</v>
      </c>
      <c r="AI18" s="931">
        <f t="shared" si="5"/>
        <v>0</v>
      </c>
      <c r="AJ18" s="931">
        <f t="shared" si="5"/>
        <v>182</v>
      </c>
      <c r="AK18" s="931">
        <f t="shared" si="5"/>
        <v>1559</v>
      </c>
      <c r="AL18" s="931">
        <f t="shared" si="5"/>
        <v>0</v>
      </c>
      <c r="AM18" s="931">
        <f t="shared" si="5"/>
        <v>0</v>
      </c>
      <c r="AN18" s="931">
        <f t="shared" si="5"/>
        <v>0</v>
      </c>
      <c r="AO18" s="933">
        <f>IF(ISNUMBER(((NºAsuntos!I18/NºAsuntos!G18)*11)/factor_trimestre),((NºAsuntos!I18/NºAsuntos!G18)*11)/factor_trimestre," - ")</f>
        <v>4.6305818673883623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3093</v>
      </c>
      <c r="G19" s="819">
        <f t="shared" si="7"/>
        <v>3457</v>
      </c>
      <c r="H19" s="820">
        <f t="shared" si="7"/>
        <v>0</v>
      </c>
      <c r="I19" s="819">
        <f t="shared" si="7"/>
        <v>0</v>
      </c>
      <c r="J19" s="821">
        <f t="shared" si="7"/>
        <v>0</v>
      </c>
      <c r="K19" s="819">
        <f t="shared" si="7"/>
        <v>0</v>
      </c>
      <c r="L19" s="822">
        <f t="shared" si="7"/>
        <v>0</v>
      </c>
      <c r="M19" s="819">
        <f t="shared" si="7"/>
        <v>0</v>
      </c>
      <c r="N19" s="820">
        <f t="shared" si="7"/>
        <v>740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2249</v>
      </c>
      <c r="Z19" s="826">
        <f t="shared" si="8"/>
        <v>307</v>
      </c>
      <c r="AA19" s="827">
        <f t="shared" si="8"/>
        <v>3546</v>
      </c>
      <c r="AB19" s="827">
        <f t="shared" si="8"/>
        <v>0</v>
      </c>
      <c r="AC19" s="827">
        <f t="shared" si="8"/>
        <v>0</v>
      </c>
      <c r="AD19" s="828">
        <f t="shared" si="8"/>
        <v>0</v>
      </c>
      <c r="AE19" s="828">
        <f t="shared" si="8"/>
        <v>9542</v>
      </c>
      <c r="AF19" s="829">
        <f t="shared" si="8"/>
        <v>0</v>
      </c>
      <c r="AG19" s="830">
        <f t="shared" si="8"/>
        <v>0</v>
      </c>
      <c r="AH19" s="831">
        <f t="shared" si="8"/>
        <v>0</v>
      </c>
      <c r="AI19" s="829">
        <f t="shared" si="8"/>
        <v>0</v>
      </c>
      <c r="AJ19" s="819">
        <f t="shared" si="8"/>
        <v>446</v>
      </c>
      <c r="AK19" s="819">
        <f t="shared" si="8"/>
        <v>2481</v>
      </c>
      <c r="AL19" s="819">
        <f t="shared" si="8"/>
        <v>0</v>
      </c>
      <c r="AM19" s="832">
        <f t="shared" si="8"/>
        <v>0</v>
      </c>
      <c r="AN19" s="822">
        <f>IF(ISNUMBER(Datos!K19/Datos!J19),Datos!K19/Datos!J19," - ")</f>
        <v>0.97995724211651525</v>
      </c>
      <c r="AO19" s="822">
        <f>IF(ISNUMBER(FIND("06",Criterios!A8,1)),(IF(ISNUMBER(((Datos!R19/Datos!Q19)*11)/factor_trimestre),((Datos!R19/Datos!Q19)*11)/factor_trimestre," - ")),(IF(ISNUMBER(((Datos!L19/Datos!K19)*11)/factor_trimestre),((Datos!L19/Datos!K19)*11)/factor_trimestre," - ")))</f>
        <v>8.0411780747204809</v>
      </c>
      <c r="AP19" s="833" t="str">
        <f>IF(ISNUMBER(Datos!CI19/Datos!CJ19),Datos!CI19/Datos!CJ19," - ")</f>
        <v xml:space="preserve"> - </v>
      </c>
      <c r="AQ19" s="833">
        <f>IF(OR(ISNUMBER(FIND("01",Criterios!A8,1)),ISNUMBER(FIND("02",Criterios!A8,1)),ISNUMBER(FIND("03",Criterios!A8,1)),ISNUMBER(FIND("04",Criterios!A8,1))),(J19-Y19+K19)/(F19-K19),(I19-Y19+K19)/(F19-K19))</f>
        <v>-0.72712576786291627</v>
      </c>
      <c r="AR19" s="833">
        <f>IF(ISNUMBER((Datos!P19-Datos!Q19+O19)/(Datos!R19-Datos!P19+Datos!Q19-O19)),(Datos!P19-Datos!Q19+O19)/(Datos!R19-Datos!P19+Datos!Q19-O19)," - ")</f>
        <v>4.7535404544955535E-2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1382.8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1651.7991201515194</v>
      </c>
      <c r="G21" s="551">
        <f>IF(ISNUMBER(STDEV(G8:G18)),STDEV(G8:G18),"-")</f>
        <v>1627.6869170697416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113.88883468833399</v>
      </c>
      <c r="AK21" s="251"/>
      <c r="AL21" s="251">
        <f>IF(ISNUMBER(STDEV(AL8:AL18)),STDEV(AL8:AL18),"-")</f>
        <v>0</v>
      </c>
      <c r="AM21" s="253">
        <f>IF(ISNUMBER(STDEV(AM8:AM18)),STDEV(AM8:AM18),"-")</f>
        <v>0</v>
      </c>
      <c r="AN21" s="538">
        <f>IF(ISNUMBER(STDEV(AN8:AN18)),STDEV(AN8:AN18),"-")</f>
        <v>0</v>
      </c>
      <c r="AO21" s="539">
        <f>IF(ISNUMBER(STDEV(AO8:AO18)),STDEV(AO8:AO18),"-")</f>
        <v>3.8776961954475935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BJaiOqtwpPLFEUkS88JFahIL9bzJXr8GAq19kgfFn3eDX9aB1vam1f8xzX65tyJCjISb9wZbuKrkf4UOu+ZsA==" saltValue="Qacqv1npVygxRy0pTfpP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qDMtIK8LZLT7abN5an88Uki+s/6WQ2frlkXypkppBNUDwJsJgiYaEqxUC3mGGgkX4NXChZ0Sx3u1TAFt961Kg==" saltValue="xxW+5LW8IGn6PYy+yDfe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ArhtYUTAZipv0dol3MH4zL0oisQUmjNMkeFBHYP6RltAUZ35gaf/wgU88oOBfGZM/4MdWkKgvJmNnRwGZduwA==" saltValue="3zUXVsuCk2VouCpPyuaqV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MARTORELL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0.15770609318996415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0.11151504792906125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fao/89CKgjd268IoWYgrt7lKa9265E6WMpR5oS3mm6Cym98QmjvRgUcRfRITE8Gs9EiOgctpWy34orYc+QxBw==" saltValue="K1VGBKdxcXs2GWwNzr8c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ai1guSfnCZ5Guq6zvW2leq3bp9Vf8MIxkVH/VxAmJFakH/qVDSeaq9EKAUx/GYGSHRpuPf7ca/n4+46n1KLVA==" saltValue="aGktts4PsF9nVThyQ30Z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MARTORELL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116</v>
      </c>
      <c r="D10" s="403">
        <f>IF(ISNUMBER(C10/Datos!BH10),C10/Datos!BH10," - ")</f>
        <v>116</v>
      </c>
      <c r="E10" s="402">
        <f>IF(ISNUMBER(Datos!J10),Datos!J10," - ")</f>
        <v>40</v>
      </c>
      <c r="F10" s="403">
        <f>IF(ISNUMBER(E10/B10),E10/B10," - ")</f>
        <v>40</v>
      </c>
      <c r="G10" s="402">
        <f>IF(ISNUMBER(Datos!K10),Datos!K10," - ")</f>
        <v>32</v>
      </c>
      <c r="H10" s="403">
        <f>IF(ISNUMBER(G10/B10),G10/B10," - ")</f>
        <v>32</v>
      </c>
      <c r="I10" s="402">
        <f>IF(ISNUMBER(Datos!L10),Datos!L10," - ")</f>
        <v>124</v>
      </c>
      <c r="J10" s="403">
        <f>IF(ISNUMBER(I10/B10),I10/B10," - ")</f>
        <v>124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6660</v>
      </c>
      <c r="D12" s="403">
        <f>IF(ISNUMBER(C12/Datos!BH12),C12/Datos!BH12," - ")</f>
        <v>951.42857142857144</v>
      </c>
      <c r="E12" s="402">
        <f>IF(ISNUMBER(IF(J_V="SI",Datos!J12,Datos!J12+Datos!Z12)),IF(J_V="SI",Datos!J12,Datos!J12+Datos!Z12)," - ")</f>
        <v>1638</v>
      </c>
      <c r="F12" s="403">
        <f>IF(ISNUMBER(E12/B12),E12/B12," - ")</f>
        <v>234</v>
      </c>
      <c r="G12" s="402">
        <f>IF(ISNUMBER(IF(J_V="SI",Datos!K12,Datos!K12+Datos!AA12)),IF(J_V="SI",Datos!K12,Datos!K12+Datos!AA12)," - ")</f>
        <v>1642</v>
      </c>
      <c r="H12" s="403">
        <f>IF(ISNUMBER(G12/B12),G12/B12," - ")</f>
        <v>234.57142857142858</v>
      </c>
      <c r="I12" s="402">
        <f>IF(ISNUMBER(IF(J_V="SI",Datos!L12,Datos!L12+Datos!AB12)),IF(J_V="SI",Datos!L12,Datos!L12+Datos!AB12)," - ")</f>
        <v>6656</v>
      </c>
      <c r="J12" s="403">
        <f>IF(ISNUMBER(I12/B12),I12/B12," - ")</f>
        <v>950.85714285714289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6776</v>
      </c>
      <c r="D13" s="849" t="str">
        <f>IF(ISNUMBER(C13/Datos!BI13),C13/Datos!BI13," - ")</f>
        <v xml:space="preserve"> - </v>
      </c>
      <c r="E13" s="848">
        <f>SUBTOTAL(9,E8:E12)</f>
        <v>1678</v>
      </c>
      <c r="F13" s="849">
        <f>IF(ISNUMBER(E13/B13),E13/B13," - ")</f>
        <v>239.71428571428572</v>
      </c>
      <c r="G13" s="848">
        <f>SUBTOTAL(9,G8:G12)</f>
        <v>1674</v>
      </c>
      <c r="H13" s="849">
        <f>IF(ISNUMBER(G13/B13),G13/B13," - ")</f>
        <v>239.14285714285714</v>
      </c>
      <c r="I13" s="848">
        <f>SUBTOTAL(9,I8:I12)</f>
        <v>6780</v>
      </c>
      <c r="J13" s="849">
        <f>IF(ISNUMBER(I13/B13),I13/B13," - ")</f>
        <v>968.57142857142856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2972</v>
      </c>
      <c r="D16" s="403">
        <f>IF(ISNUMBER(C16/Datos!BH16),C16/Datos!BH16," - ")</f>
        <v>424.57142857142856</v>
      </c>
      <c r="E16" s="402">
        <f>IF(ISNUMBER(IF(D_I="SI",Datos!J16,Datos!J16+Datos!AD16)),IF(D_I="SI",Datos!J16,Datos!J16+Datos!AD16)," - ")</f>
        <v>2192</v>
      </c>
      <c r="F16" s="403">
        <f>IF(ISNUMBER(E16/B16),E16/B16," - ")</f>
        <v>313.14285714285717</v>
      </c>
      <c r="G16" s="402">
        <f>IF(ISNUMBER(IF(D_I="SI",Datos!K16,Datos!K16+Datos!AE16)),IF(D_I="SI",Datos!K16,Datos!K16+Datos!AE16)," - ")</f>
        <v>2054</v>
      </c>
      <c r="H16" s="403">
        <f>IF(ISNUMBER(G16/B16),G16/B16," - ")</f>
        <v>293.42857142857144</v>
      </c>
      <c r="I16" s="402">
        <f>IF(ISNUMBER(IF(D_I="SI",Datos!L16,Datos!L16+Datos!AF16)),IF(D_I="SI",Datos!L16,Datos!L16+Datos!AF16)," - ")</f>
        <v>3115</v>
      </c>
      <c r="J16" s="403">
        <f>IF(ISNUMBER(I16/B16),I16/B16," - ")</f>
        <v>445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369</v>
      </c>
      <c r="D17" s="403">
        <f>IF(ISNUMBER(C17/Datos!BH17),C17/Datos!BH17," - ")</f>
        <v>369</v>
      </c>
      <c r="E17" s="402">
        <f>IF(ISNUMBER(IF(D_I="SI",Datos!J17,Datos!J17+Datos!AD17)),IF(D_I="SI",Datos!J17,Datos!J17+Datos!AD17)," - ")</f>
        <v>101</v>
      </c>
      <c r="F17" s="403">
        <f>IF(ISNUMBER(E17/B17),E17/B17," - ")</f>
        <v>101</v>
      </c>
      <c r="G17" s="402">
        <f>IF(ISNUMBER(IF(D_I="SI",Datos!K17,Datos!K17+Datos!AE17)),IF(D_I="SI",Datos!K17,Datos!K17+Datos!AE17)," - ")</f>
        <v>163</v>
      </c>
      <c r="H17" s="403">
        <f>IF(ISNUMBER(G17/B17),G17/B17," - ")</f>
        <v>163</v>
      </c>
      <c r="I17" s="402">
        <f>IF(ISNUMBER(IF(D_I="SI",Datos!L17,Datos!L17+Datos!AF17)),IF(D_I="SI",Datos!L17,Datos!L17+Datos!AF17)," - ")</f>
        <v>307</v>
      </c>
      <c r="J17" s="403">
        <f>IF(ISNUMBER(I17/B17),I17/B17," - ")</f>
        <v>307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3341</v>
      </c>
      <c r="D18" s="849" t="str">
        <f>IF(ISNUMBER(C18/Datos!BI18),C18/Datos!BI18," - ")</f>
        <v xml:space="preserve"> - </v>
      </c>
      <c r="E18" s="848">
        <f>SUBTOTAL(9,E14:E17)</f>
        <v>2293</v>
      </c>
      <c r="F18" s="849">
        <f>IF(ISNUMBER(E18/B18),E18/B18," - ")</f>
        <v>327.57142857142856</v>
      </c>
      <c r="G18" s="848">
        <f>SUBTOTAL(9,G14:G17)</f>
        <v>2217</v>
      </c>
      <c r="H18" s="849">
        <f>IF(ISNUMBER(G18/B18),G18/B18," - ")</f>
        <v>316.71428571428572</v>
      </c>
      <c r="I18" s="848">
        <f>SUBTOTAL(9,I14:I17)</f>
        <v>3422</v>
      </c>
      <c r="J18" s="849">
        <f>IF(ISNUMBER(I18/B18),I18/B18," - ")</f>
        <v>488.85714285714283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10117</v>
      </c>
      <c r="D19" s="794" t="str">
        <f>IF(ISNUMBER(C19/Datos!BI19),C19/Datos!BI19," - ")</f>
        <v xml:space="preserve"> - </v>
      </c>
      <c r="E19" s="793">
        <f>SUBTOTAL(9,E9:E18)</f>
        <v>3971</v>
      </c>
      <c r="F19" s="794">
        <f>IF(ISNUMBER(E19/B19),E19/B19," - ")</f>
        <v>567.28571428571433</v>
      </c>
      <c r="G19" s="793">
        <f>SUBTOTAL(9,G9:G18)</f>
        <v>3891</v>
      </c>
      <c r="H19" s="794">
        <f>IF(ISNUMBER(G19/B19),G19/B19," - ")</f>
        <v>555.85714285714289</v>
      </c>
      <c r="I19" s="793">
        <f>SUBTOTAL(9,I9:I18)</f>
        <v>10202</v>
      </c>
      <c r="J19" s="794">
        <f>IF(ISNUMBER(I19/B19),I19/B19," - ")</f>
        <v>1457.4285714285713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lnnO3daRcz9ZFOolOAGWAJq/CFG0FujW0Hj/qPQR6jqPp13A/Q9tcl8zy0Ftuv8kje2LGrbjjglAgtwfFbs9A==" saltValue="2ZxHvpgKttEjRKHBxCdR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MARTORELL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116</v>
      </c>
      <c r="G10" s="683">
        <f>IF(ISNUMBER(Datos!I10),Datos!I10," - ")</f>
        <v>116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v>
      </c>
      <c r="AC10" s="682" t="str">
        <f>IF(ISNUMBER(IF(D_I="SI",DatosP!K17,DatosP!K17+DatosP!AE17)),IF(D_I="SI",DatosP!K17,DatosP!K17+DatosP!AE17)," - ")</f>
        <v xml:space="preserve"> - </v>
      </c>
      <c r="AD10" s="684"/>
      <c r="AE10" s="684"/>
      <c r="AF10" s="687">
        <f>IF(ISNUMBER(Datos!L10),Datos!L10,"-")</f>
        <v>124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11.625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696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9153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256</v>
      </c>
      <c r="AM12" s="689">
        <f>IF(ISNUMBER(Datos!N12+DatosP!N16),Datos!N12+DatosP!N16," - ")</f>
        <v>913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12.160779537149816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5.0499253988293358E-2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116</v>
      </c>
      <c r="G13" s="937">
        <f t="shared" si="0"/>
        <v>116</v>
      </c>
      <c r="H13" s="937">
        <f t="shared" si="0"/>
        <v>0</v>
      </c>
      <c r="I13" s="939">
        <f t="shared" si="0"/>
        <v>0</v>
      </c>
      <c r="J13" s="938">
        <f t="shared" si="0"/>
        <v>0</v>
      </c>
      <c r="K13" s="938">
        <f t="shared" si="0"/>
        <v>0</v>
      </c>
      <c r="L13" s="940">
        <f t="shared" si="0"/>
        <v>0</v>
      </c>
      <c r="M13" s="940">
        <f t="shared" si="0"/>
        <v>0</v>
      </c>
      <c r="N13" s="938">
        <f t="shared" si="0"/>
        <v>709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v>
      </c>
      <c r="AC13" s="938">
        <f t="shared" si="1"/>
        <v>0</v>
      </c>
      <c r="AD13" s="938">
        <f t="shared" si="1"/>
        <v>256</v>
      </c>
      <c r="AE13" s="938">
        <f t="shared" si="1"/>
        <v>0</v>
      </c>
      <c r="AF13" s="938">
        <f t="shared" si="1"/>
        <v>124</v>
      </c>
      <c r="AG13" s="938">
        <f t="shared" si="1"/>
        <v>0</v>
      </c>
      <c r="AH13" s="938">
        <f t="shared" si="1"/>
        <v>9153</v>
      </c>
      <c r="AI13" s="938">
        <f t="shared" si="1"/>
        <v>0</v>
      </c>
      <c r="AJ13" s="938">
        <f t="shared" si="1"/>
        <v>0</v>
      </c>
      <c r="AK13" s="938">
        <f t="shared" si="1"/>
        <v>0</v>
      </c>
      <c r="AL13" s="938">
        <f t="shared" si="1"/>
        <v>264</v>
      </c>
      <c r="AM13" s="938">
        <f t="shared" si="1"/>
        <v>922</v>
      </c>
      <c r="AN13" s="938">
        <f t="shared" si="1"/>
        <v>0</v>
      </c>
      <c r="AO13" s="938">
        <f t="shared" si="1"/>
        <v>0</v>
      </c>
      <c r="AP13" s="943">
        <f>IF(ISNUMBER(((Datos!L13/Datos!K13)*11)/factor_trimestre),((Datos!L13/Datos!K13)*11)/factor_trimestre," - ")</f>
        <v>13.25586206896552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-0.27586206896551724</v>
      </c>
      <c r="AU13" s="938" t="str">
        <f>IF(ISNUMBER((DatosP!#REF!-DatosP!#REF!+DatosP!#REF!)/(DatosP!#REF!+DatosP!#REF!-DatosP!#REF!-DatosP!#REF!)),(DatosP!#REF!-DatosP!#REF!+DatosP!#REF!)/(DatosP!#REF!+DatosP!#REF!-DatosP!#REF!-DatosP!#REF!)," - ")</f>
        <v xml:space="preserve"> - </v>
      </c>
      <c r="AV13" s="944">
        <f>SUBTOTAL(9,AV9:AV12)</f>
        <v>5.0499253988293358E-2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4.6305818673883623</v>
      </c>
      <c r="AQ18" s="943">
        <f>IF(ISNUMBER(((Datos!M18/Datos!L18)*11)/factor_trimestre),((Datos!M18/Datos!L18)*11)/factor_trimestre," - ")</f>
        <v>0.15955581531268265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-2.7237354085603113E-2</v>
      </c>
      <c r="AW18" s="945">
        <f>IF(ISNUMBER((Datos!Q18-Datos!R18)/(Datos!S18-Datos!Q18+Datos!R18)),(Datos!Q18-Datos!R18)/(Datos!S18-Datos!Q18+Datos!R18)," - ")</f>
        <v>-5.8209774848984076E-2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116</v>
      </c>
      <c r="G19" s="950">
        <f t="shared" si="4"/>
        <v>116</v>
      </c>
      <c r="H19" s="950">
        <f t="shared" si="4"/>
        <v>0</v>
      </c>
      <c r="I19" s="951">
        <f t="shared" si="4"/>
        <v>0</v>
      </c>
      <c r="J19" s="952">
        <f t="shared" si="4"/>
        <v>0</v>
      </c>
      <c r="K19" s="952">
        <f t="shared" si="4"/>
        <v>0</v>
      </c>
      <c r="L19" s="952">
        <f t="shared" si="4"/>
        <v>0</v>
      </c>
      <c r="M19" s="952">
        <f t="shared" si="4"/>
        <v>0</v>
      </c>
      <c r="N19" s="951">
        <f t="shared" si="4"/>
        <v>709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v>
      </c>
      <c r="AC19" s="956">
        <f t="shared" si="5"/>
        <v>0</v>
      </c>
      <c r="AD19" s="956">
        <f t="shared" si="5"/>
        <v>256</v>
      </c>
      <c r="AE19" s="956">
        <f t="shared" si="5"/>
        <v>0</v>
      </c>
      <c r="AF19" s="957">
        <f t="shared" si="5"/>
        <v>124</v>
      </c>
      <c r="AG19" s="957">
        <f t="shared" si="5"/>
        <v>0</v>
      </c>
      <c r="AH19" s="957">
        <f t="shared" si="5"/>
        <v>9153</v>
      </c>
      <c r="AI19" s="957">
        <f t="shared" si="5"/>
        <v>0</v>
      </c>
      <c r="AJ19" s="958">
        <f t="shared" si="5"/>
        <v>0</v>
      </c>
      <c r="AK19" s="958">
        <f t="shared" si="5"/>
        <v>0</v>
      </c>
      <c r="AL19" s="950">
        <f t="shared" si="5"/>
        <v>264</v>
      </c>
      <c r="AM19" s="950">
        <f t="shared" si="5"/>
        <v>922</v>
      </c>
      <c r="AN19" s="950">
        <f t="shared" si="5"/>
        <v>0</v>
      </c>
      <c r="AO19" s="950">
        <f t="shared" si="5"/>
        <v>0</v>
      </c>
      <c r="AP19" s="950">
        <f>IF(ISNUMBER(((Datos!L19/Datos!K19)*11)/factor_trimestre),((Datos!L19/Datos!K19)*11)/factor_trimestre," - ")</f>
        <v>8.0411780747204809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-0.27586206896551724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4.7535404544955535E-2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77.333333333333329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66.972631225996594</v>
      </c>
      <c r="G21" s="736">
        <f>IF(ISNUMBER(STDEV(G8:G18)),STDEV(G8:G18),"-")</f>
        <v>66.972631225996594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18.475208614068027</v>
      </c>
      <c r="AC21" s="737">
        <f>IF(ISNUMBER(STDEV(AC8:AC18)),STDEV(AC8:AC18),"-")</f>
        <v>0</v>
      </c>
      <c r="AD21" s="740"/>
      <c r="AE21" s="740"/>
      <c r="AF21" s="740"/>
      <c r="AG21" s="740"/>
      <c r="AH21" s="740"/>
      <c r="AI21" s="740"/>
      <c r="AJ21" s="741">
        <f>IF(ISNUMBER(STDEV(AJ8:AJ18)),STDEV(AJ8:AJ18),"-")</f>
        <v>0</v>
      </c>
      <c r="AK21" s="743"/>
      <c r="AL21" s="735">
        <f>IF(ISNUMBER(STDEV(AL8:AL18)),STDEV(AL8:AL18),"-")</f>
        <v>147.8738200854589</v>
      </c>
      <c r="AM21" s="735"/>
      <c r="AN21" s="735">
        <f>IF(ISNUMBER(STDEV(AN8:AN18)),STDEV(AN8:AN18),"-")</f>
        <v>0</v>
      </c>
      <c r="AO21" s="741">
        <f>IF(ISNUMBER(STDEV(AO8:AO18)),STDEV(AO8:AO18),"-")</f>
        <v>0</v>
      </c>
      <c r="AP21" s="778">
        <f>IF(ISNUMBER(STDEV(AP8:AP18)),STDEV(AP8:AP18),"-")</f>
        <v>3.9175587324581893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0pj3yPX6owZ9OVSkQvdWt3OXE1PrUneEu+zaQmAHAjvuH01k1p7dZQ1PUNn2EiYvapb0ZHlwaVT1oGUe1QPrEw==" saltValue="2njOJjohUcnHr1oaFXvD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MARTORELL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dbNWTZ0kF6OAWKt4Qx/9Mkn8/D8AnPZnHLYKugY/0p/fAvAmiUWFTnSdXKHah3vtT/zE6VOgxJn8GL+1t0+yg==" saltValue="SbADRHDExhdexERQQ4Wm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MARTORELL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9</v>
      </c>
      <c r="G10" s="403">
        <f>IF(ISNUMBER(F10/B10),F10/B10," - ")</f>
        <v>9</v>
      </c>
      <c r="H10" s="402">
        <f>IF(ISNUMBER(Datos!O10),Datos!O10," - ")</f>
        <v>20</v>
      </c>
      <c r="I10" s="403">
        <f t="shared" ref="I10:I12" si="2">IF(ISNUMBER(H10/B10),H10/B10," - ")</f>
        <v>20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256</v>
      </c>
      <c r="E12" s="403">
        <f t="shared" si="0"/>
        <v>36.571428571428569</v>
      </c>
      <c r="F12" s="402">
        <f>IF(ISNUMBER(Datos!N12),Datos!N12," - ")</f>
        <v>913</v>
      </c>
      <c r="G12" s="403">
        <f t="shared" si="1"/>
        <v>130.42857142857142</v>
      </c>
      <c r="H12" s="402">
        <f>IF(ISNUMBER(Datos!O12),Datos!O12," - ")</f>
        <v>663</v>
      </c>
      <c r="I12" s="403">
        <f t="shared" si="2"/>
        <v>94.714285714285708</v>
      </c>
      <c r="BZ12" s="1185">
        <f>Datos!EZ12</f>
        <v>0</v>
      </c>
    </row>
    <row r="13" spans="1:78" ht="14.25" thickTop="1" thickBot="1">
      <c r="A13" s="847" t="str">
        <f>Datos!A13</f>
        <v>TOTAL</v>
      </c>
      <c r="B13" s="848">
        <f>Datos!AP13</f>
        <v>7</v>
      </c>
      <c r="C13" s="850">
        <f>Datos!AR13</f>
        <v>7</v>
      </c>
      <c r="D13" s="848">
        <f>SUBTOTAL(9,D9:D12)</f>
        <v>264</v>
      </c>
      <c r="E13" s="849">
        <f t="shared" si="0"/>
        <v>37.714285714285715</v>
      </c>
      <c r="F13" s="848">
        <f>SUBTOTAL(9,F9:F12)</f>
        <v>922</v>
      </c>
      <c r="G13" s="849">
        <f t="shared" si="1"/>
        <v>131.71428571428572</v>
      </c>
      <c r="H13" s="848">
        <f>SUBTOTAL(9,H9:H12)</f>
        <v>683</v>
      </c>
      <c r="I13" s="849">
        <f>IF(ISNUMBER(H13/B13),H13/B13," - ")</f>
        <v>97.571428571428569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170</v>
      </c>
      <c r="E16" s="403">
        <f t="shared" si="3"/>
        <v>24.285714285714285</v>
      </c>
      <c r="F16" s="402">
        <f>IF(ISNUMBER(Datos!N16),Datos!N16," - ")</f>
        <v>1447</v>
      </c>
      <c r="G16" s="403">
        <f t="shared" si="4"/>
        <v>206.71428571428572</v>
      </c>
      <c r="H16" s="402">
        <f>IF(ISNUMBER(Datos!O16),Datos!O16," - ")</f>
        <v>21</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112</v>
      </c>
      <c r="G17" s="403">
        <f>IF(ISNUMBER(F17/B17),F17/B17," - ")</f>
        <v>112</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182</v>
      </c>
      <c r="E18" s="849">
        <f t="shared" si="3"/>
        <v>26</v>
      </c>
      <c r="F18" s="848">
        <f>SUBTOTAL(9,F15:F17)</f>
        <v>1559</v>
      </c>
      <c r="G18" s="849">
        <f t="shared" si="4"/>
        <v>222.71428571428572</v>
      </c>
      <c r="H18" s="848">
        <f>SUBTOTAL(9,H15:H17)</f>
        <v>21</v>
      </c>
      <c r="I18" s="849">
        <f>IF(ISNUMBER(H18/B18),H18/B18," - ")</f>
        <v>3</v>
      </c>
      <c r="BZ18" s="1185"/>
    </row>
    <row r="19" spans="1:78" ht="14.25" thickTop="1" thickBot="1">
      <c r="A19" s="792" t="str">
        <f>Datos!A19</f>
        <v>TOTAL JURISDICCIONES</v>
      </c>
      <c r="B19" s="793">
        <f>Datos!AP19</f>
        <v>7</v>
      </c>
      <c r="C19" s="793">
        <f>Datos!AR19</f>
        <v>7</v>
      </c>
      <c r="D19" s="793">
        <f>SUBTOTAL(9,D8:D18)</f>
        <v>446</v>
      </c>
      <c r="E19" s="794">
        <f>IF(ISNUMBER(D19/B19),D19/B19," - ")</f>
        <v>63.714285714285715</v>
      </c>
      <c r="F19" s="793">
        <f>SUBTOTAL(9,F8:F18)</f>
        <v>2481</v>
      </c>
      <c r="G19" s="794">
        <f>IF(ISNUMBER(F19/B19),F19/B19," - ")</f>
        <v>354.42857142857144</v>
      </c>
      <c r="H19" s="793">
        <f>SUBTOTAL(9,H8:H18)</f>
        <v>704</v>
      </c>
      <c r="I19" s="794">
        <f>IF(ISNUMBER(H19/B19),H19/B19," - ")</f>
        <v>100.57142857142857</v>
      </c>
    </row>
    <row r="22" spans="1:78">
      <c r="A22" s="390" t="str">
        <f>Criterios!A4</f>
        <v>Fecha Informe: 17 mar. 2026</v>
      </c>
    </row>
    <row r="27" spans="1:78">
      <c r="A27" s="413"/>
    </row>
  </sheetData>
  <sheetProtection algorithmName="SHA-512" hashValue="g6iC8gojMRqFCCsiDexjTtfukyA4ZUYydeliVVQ4q8VGUllA64S3d2D5uO5zifHyfalT9TfJYpV3mJl8JtQbrQ==" saltValue="Y/k6lpI626vS9XJFq4Zm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MARTORELL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13</v>
      </c>
      <c r="C10" s="433">
        <f>IF(ISNUMBER(Datos!Q10),Datos!Q10," - ")</f>
        <v>13</v>
      </c>
      <c r="D10" s="407">
        <f>IF(ISNUMBER(Datos!R10),Datos!R10," - ")</f>
        <v>139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696</v>
      </c>
      <c r="C12" s="433">
        <f>IF(ISNUMBER(Datos!Q12),Datos!Q12," - ")</f>
        <v>256</v>
      </c>
      <c r="D12" s="407">
        <f>IF(ISNUMBER(Datos!R12),Datos!R12," - ")</f>
        <v>9153</v>
      </c>
    </row>
    <row r="13" spans="1:4" ht="14.25" thickTop="1" thickBot="1">
      <c r="A13" s="847" t="str">
        <f>Datos!A13</f>
        <v>TOTAL</v>
      </c>
      <c r="B13" s="848">
        <f>SUBTOTAL(9,B9:B12)</f>
        <v>709</v>
      </c>
      <c r="C13" s="852">
        <f>SUBTOTAL(9,C9:C12)</f>
        <v>269</v>
      </c>
      <c r="D13" s="850">
        <f>SUBTOTAL(9,D9:D12)</f>
        <v>9292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v>
      </c>
      <c r="C16" s="433">
        <f>IF(ISNUMBER(Datos!Q16),Datos!Q16," - ")</f>
        <v>38</v>
      </c>
      <c r="D16" s="407">
        <f>IF(ISNUMBER(Datos!R16),Datos!R16," - ")</f>
        <v>244</v>
      </c>
    </row>
    <row r="17" spans="1:4" ht="13.5" thickBot="1">
      <c r="A17" s="401" t="str">
        <f>Datos!A17</f>
        <v>Jdos. Violencia contra la mujer/Secc Viol. TI.</v>
      </c>
      <c r="B17" s="432">
        <f>IF(ISNUMBER(Datos!P17),Datos!P17," - ")</f>
        <v>2</v>
      </c>
      <c r="C17" s="433">
        <f>IF(ISNUMBER(Datos!Q17),Datos!Q17," - ")</f>
        <v>0</v>
      </c>
      <c r="D17" s="407">
        <f>IF(ISNUMBER(Datos!R17),Datos!R17," - ")</f>
        <v>6</v>
      </c>
    </row>
    <row r="18" spans="1:4" ht="14.25" thickTop="1" thickBot="1">
      <c r="A18" s="847" t="str">
        <f>Datos!A18</f>
        <v>TOTAL</v>
      </c>
      <c r="B18" s="848">
        <f>SUBTOTAL(9,B15:B17)</f>
        <v>31</v>
      </c>
      <c r="C18" s="852">
        <f>SUBTOTAL(9,C15:C17)</f>
        <v>38</v>
      </c>
      <c r="D18" s="850">
        <f>SUBTOTAL(9,D15:D17)</f>
        <v>250</v>
      </c>
    </row>
    <row r="19" spans="1:4" ht="16.5" customHeight="1" thickTop="1" thickBot="1">
      <c r="A19" s="792" t="str">
        <f>Datos!A19</f>
        <v>TOTAL JURISDICCIONES</v>
      </c>
      <c r="B19" s="797">
        <f>SUBTOTAL(9,B8:B18)</f>
        <v>740</v>
      </c>
      <c r="C19" s="798">
        <f>SUBTOTAL(9,C8:C18)</f>
        <v>307</v>
      </c>
      <c r="D19" s="799">
        <f>SUBTOTAL(9,D8:D18)</f>
        <v>9542</v>
      </c>
    </row>
    <row r="20" spans="1:4" ht="7.5" customHeight="1"/>
    <row r="21" spans="1:4" ht="6" customHeight="1"/>
    <row r="22" spans="1:4">
      <c r="A22" s="390" t="str">
        <f>Criterios!A4</f>
        <v>Fecha Informe: 17 mar. 2026</v>
      </c>
    </row>
    <row r="27" spans="1:4">
      <c r="A27" s="413"/>
    </row>
  </sheetData>
  <sheetProtection algorithmName="SHA-512" hashValue="NcM0vWYq2WSt57+a4hEmJiejsx8j9JPyxcuhFn9bfKt0CnvpiH7GQvxC/3H1nJda2ovQhWBMqCbblzcH2Tr6Jw==" saltValue="fWewJSS/TwJJJ/XExRtB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MARTORELL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0.18367346938775511</v>
      </c>
      <c r="C10" s="455">
        <f>IF(ISNUMBER((Datos!J10-Datos!T10)/Datos!T10),(Datos!J10-Datos!T10)/Datos!T10," - ")</f>
        <v>0.66666666666666663</v>
      </c>
      <c r="D10" s="455">
        <f>IF(ISNUMBER((Datos!K10-Datos!U10)/Datos!U10),(Datos!K10-Datos!U10)/Datos!U10," - ")</f>
        <v>1.6666666666666667</v>
      </c>
      <c r="E10" s="455">
        <f>IF(ISNUMBER((Datos!L10-Datos!V10)/Datos!V10),(Datos!L10-Datos!V10)/Datos!V10," - ")</f>
        <v>0.12727272727272726</v>
      </c>
      <c r="F10" s="455">
        <f>IF(ISNUMBER((Datos!M10-Datos!W10)/Datos!W10),(Datos!M10-Datos!W10)/Datos!W10," - ")</f>
        <v>1</v>
      </c>
      <c r="G10" s="456">
        <f>IF(ISNUMBER((Datos!N10-Datos!X10)/Datos!X10),(Datos!N10-Datos!X10)/Datos!X10," - ")</f>
        <v>0.8</v>
      </c>
      <c r="H10" s="454">
        <f>IF(ISNUMBER(((NºAsuntos!G10/NºAsuntos!E10)-Datos!BD10)/Datos!BD10),((NºAsuntos!G10/NºAsuntos!E10)-Datos!BD10)/Datos!BD10," - ")</f>
        <v>0.60000000000000009</v>
      </c>
      <c r="I10" s="455">
        <f>IF(ISNUMBER(((NºAsuntos!I10/NºAsuntos!G10)-Datos!BE10)/Datos!BE10),((NºAsuntos!I10/NºAsuntos!G10)-Datos!BE10)/Datos!BE10," - ")</f>
        <v>-0.57727272727272727</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-0.52049180327868849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2.0533251608948821E-2</v>
      </c>
      <c r="C12" s="455">
        <f>IF(ISNUMBER(
   IF(J_V="SI",(Datos!J12-Datos!T12)/Datos!T12,(Datos!J12+Datos!Z12-(Datos!T12+Datos!AH12))/(Datos!T12+Datos!AH12))
     ),IF(J_V="SI",(Datos!J12-Datos!T12)/Datos!T12,(Datos!J12+Datos!Z12-(Datos!T12+Datos!AH12))/(Datos!T12+Datos!AH12))," - ")</f>
        <v>-0.23350491343004212</v>
      </c>
      <c r="D12" s="455">
        <f>IF(ISNUMBER(
   IF(J_V="SI",(Datos!K12-Datos!U12)/Datos!U12,(Datos!K12+Datos!AA12-(Datos!U12+Datos!AI12))/(Datos!U12+Datos!AI12))
     ),IF(J_V="SI",(Datos!K12-Datos!U12)/Datos!U12,(Datos!K12+Datos!AA12-(Datos!U12+Datos!AI12))/(Datos!U12+Datos!AI12))," - ")</f>
        <v>-0.1765295887662989</v>
      </c>
      <c r="E12" s="455">
        <f>IF(ISNUMBER(
   IF(J_V="SI",(Datos!L12-Datos!V12)/Datos!V12,(Datos!L12+Datos!AB12-(Datos!V12+Datos!AJ12))/(Datos!V12+Datos!AJ12))
     ),IF(J_V="SI",(Datos!L12-Datos!V12)/Datos!V12,(Datos!L12+Datos!AB12-(Datos!V12+Datos!AJ12))/(Datos!V12+Datos!AJ12))," - ")</f>
        <v>-2.8464419475655429E-3</v>
      </c>
      <c r="F12" s="455">
        <f>IF(ISNUMBER((Datos!M12-Datos!W12)/Datos!W12),(Datos!M12-Datos!W12)/Datos!W12," - ")</f>
        <v>-0.37560975609756098</v>
      </c>
      <c r="G12" s="456">
        <f>IF(ISNUMBER((Datos!N12-Datos!X12)/Datos!X12),(Datos!N12-Datos!X12)/Datos!X12," - ")</f>
        <v>-8.6086086086086089E-2</v>
      </c>
      <c r="H12" s="454">
        <f>IF(ISNUMBER(((NºAsuntos!G12/NºAsuntos!E12)-Datos!BD12)/Datos!BD12),((NºAsuntos!G12/NºAsuntos!E12)-Datos!BD12)/Datos!BD12," - ")</f>
        <v>7.4332276438595343E-2</v>
      </c>
      <c r="I12" s="455">
        <f>IF(ISNUMBER(((NºAsuntos!I12/NºAsuntos!G12)-Datos!BE12)/Datos!BE12),((NºAsuntos!I12/NºAsuntos!G12)-Datos!BE12)/Datos!BE12," - ")</f>
        <v>0.21091607476038612</v>
      </c>
      <c r="J12" s="460">
        <f>IF(ISNUMBER((('Resol  Asuntos'!D12/NºAsuntos!G12)-Datos!BF12)/Datos!BF12),(('Resol  Asuntos'!D12/NºAsuntos!G12)-Datos!BF12)/Datos!BF12," - ")</f>
        <v>-0.68880939404690933</v>
      </c>
      <c r="K12" s="461">
        <f>IF(ISNUMBER((((NºAsuntos!C12+NºAsuntos!E12)/NºAsuntos!G12)-Datos!BG12)/Datos!BG12),(((NºAsuntos!C12+NºAsuntos!E12)/NºAsuntos!G12)-Datos!BG12)/Datos!BG12," - ")</f>
        <v>0.16320729528172434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2.2946859903381644E-2</v>
      </c>
      <c r="C13" s="854">
        <f>IF(ISNUMBER(
   IF(J_V="SI",(Datos!J13-Datos!T13)/Datos!T13,(Datos!J13+Datos!Z13-(Datos!T13+Datos!AH13))/(Datos!T13+Datos!AH13))
     ),IF(J_V="SI",(Datos!J13-Datos!T13)/Datos!T13,(Datos!J13+Datos!Z13-(Datos!T13+Datos!AH13))/(Datos!T13+Datos!AH13))," - ")</f>
        <v>-0.22350763535400278</v>
      </c>
      <c r="D13" s="854">
        <f>IF(ISNUMBER(
   IF(J_V="SI",(Datos!K13-Datos!U13)/Datos!U13,(Datos!K13+Datos!AA13-(Datos!U13+Datos!AI13))/(Datos!U13+Datos!AI13))
     ),IF(J_V="SI",(Datos!K13-Datos!U13)/Datos!U13,(Datos!K13+Datos!AA13-(Datos!U13+Datos!AI13))/(Datos!U13+Datos!AI13))," - ")</f>
        <v>-0.16550348953140578</v>
      </c>
      <c r="E13" s="854">
        <f>IF(ISNUMBER(
   IF(J_V="SI",(Datos!L13-Datos!V13)/Datos!V13,(Datos!L13+Datos!AB13-(Datos!V13+Datos!AJ13))/(Datos!V13+Datos!AJ13))
     ),IF(J_V="SI",(Datos!L13-Datos!V13)/Datos!V13,(Datos!L13+Datos!AB13-(Datos!V13+Datos!AJ13))/(Datos!V13+Datos!AJ13))," - ")</f>
        <v>-7.3691967575534268E-4</v>
      </c>
      <c r="F13" s="855">
        <f>IF(ISNUMBER((Datos!M13-Datos!W13)/Datos!W13),(Datos!M13-Datos!W13)/Datos!W13," - ")</f>
        <v>-0.36231884057971014</v>
      </c>
      <c r="G13" s="856">
        <f>IF(ISNUMBER((Datos!N13-Datos!X13)/Datos!X13),(Datos!N13-Datos!X13)/Datos!X13," - ")</f>
        <v>-8.1673306772908363E-2</v>
      </c>
      <c r="H13" s="856">
        <f>IF(ISNUMBER(((NºAsuntos!G13/NºAsuntos!E13)-Datos!BD13)/Datos!BD13),((NºAsuntos!G13/NºAsuntos!E13)-Datos!BD13)/Datos!BD13," - ")</f>
        <v>7.4700214018255176E-2</v>
      </c>
      <c r="I13" s="856">
        <f>IF(ISNUMBER(((NºAsuntos!I13/NºAsuntos!G13)-Datos!BE13)/Datos!BE13),((NºAsuntos!I13/NºAsuntos!G13)-Datos!BE13)/Datos!BE13," - ")</f>
        <v>0.19744428860838406</v>
      </c>
      <c r="J13" s="856">
        <f>IF(ISNUMBER((('Resol  Asuntos'!D13/NºAsuntos!G13)-Datos!BF13)/Datos!BF13),(('Resol  Asuntos'!D13/NºAsuntos!G13)-Datos!BF13)/Datos!BF13," - ")</f>
        <v>-0.68458781362007171</v>
      </c>
      <c r="K13" s="856">
        <f>IF(ISNUMBER((((NºAsuntos!C13+NºAsuntos!E13)/NºAsuntos!G13)-Datos!BG13)/Datos!BG13),(((NºAsuntos!C13+NºAsuntos!E13)/NºAsuntos!G13)-Datos!BG13)/Datos!BG13," - ")</f>
        <v>0.15317694914147814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-2.9392553886348791E-2</v>
      </c>
      <c r="C16" s="455">
        <f>IF(ISNUMBER(
   IF(D_I="SI",(Datos!J16-Datos!T16)/Datos!T16,(Datos!J16+Datos!AD16-(Datos!T16+Datos!AL16))/(Datos!T16+Datos!AL16))
     ),IF(D_I="SI",(Datos!J16-Datos!T16)/Datos!T16,(Datos!J16+Datos!AD16-(Datos!T16+Datos!AL16))/(Datos!T16+Datos!AL16))," - ")</f>
        <v>0.12295081967213115</v>
      </c>
      <c r="D16" s="455">
        <f>IF(ISNUMBER(
   IF(D_I="SI",(Datos!K16-Datos!U16)/Datos!U16,(Datos!K16+Datos!AE16-(Datos!U16+Datos!AM16))/(Datos!U16+Datos!AM16))
     ),IF(D_I="SI",(Datos!K16-Datos!U16)/Datos!U16,(Datos!K16+Datos!AE16-(Datos!U16+Datos!AM16))/(Datos!U16+Datos!AM16))," - ")</f>
        <v>-3.7488284910965321E-2</v>
      </c>
      <c r="E16" s="455">
        <f>IF(ISNUMBER(
   IF(D_I="SI",(Datos!L16-Datos!V16)/Datos!V16,(Datos!L16+Datos!AF16-(Datos!V16+Datos!AN16))/(Datos!V16+Datos!AN16))
     ),IF(D_I="SI",(Datos!L16-Datos!V16)/Datos!V16,(Datos!L16+Datos!AF16-(Datos!V16+Datos!AN16))/(Datos!V16+Datos!AN16))," - ")</f>
        <v>7.599309153713299E-2</v>
      </c>
      <c r="F16" s="455">
        <f>IF(ISNUMBER((Datos!M16-Datos!W16)/Datos!W16),(Datos!M16-Datos!W16)/Datos!W16," - ")</f>
        <v>-0.18660287081339713</v>
      </c>
      <c r="G16" s="456">
        <f>IF(ISNUMBER((Datos!N16-Datos!X16)/Datos!X16),(Datos!N16-Datos!X16)/Datos!X16," - ")</f>
        <v>8.0657206870799109E-2</v>
      </c>
      <c r="H16" s="454">
        <f>IF(ISNUMBER(((NºAsuntos!G16/NºAsuntos!E16)-Datos!BD16)/Datos!BD16),((NºAsuntos!G16/NºAsuntos!E16)-Datos!BD16)/Datos!BD16," - ")</f>
        <v>-0.14287277926377939</v>
      </c>
      <c r="I16" s="455">
        <f>IF(ISNUMBER(((NºAsuntos!I16/NºAsuntos!G16)-Datos!BE16)/Datos!BE16),((NºAsuntos!I16/NºAsuntos!G16)-Datos!BE16)/Datos!BE16," - ")</f>
        <v>0.11790129373916354</v>
      </c>
      <c r="J16" s="460">
        <f>IF(ISNUMBER((('Resol  Asuntos'!D16/NºAsuntos!G16)-Datos!BF16)/Datos!BF16),(('Resol  Asuntos'!D16/NºAsuntos!G16)-Datos!BF16)/Datos!BF16," - ")</f>
        <v>-0.15492235945267255</v>
      </c>
      <c r="K16" s="461">
        <f>IF(ISNUMBER((((NºAsuntos!C16+NºAsuntos!E16)/NºAsuntos!G16)-Datos!BG16)/Datos!BG16),(((NºAsuntos!C16+NºAsuntos!E16)/NºAsuntos!G16)-Datos!BG16)/Datos!BG16," - ")</f>
        <v>7.0029817193455093E-2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2.717391304347826E-3</v>
      </c>
      <c r="C17" s="455">
        <f>IF(ISNUMBER(
   IF(D_I="SI",(Datos!J17-Datos!T17)/Datos!T17,(Datos!J17+Datos!AD17-(Datos!T17+Datos!AL17))/(Datos!T17+Datos!AL17))
     ),IF(D_I="SI",(Datos!J17-Datos!T17)/Datos!T17,(Datos!J17+Datos!AD17-(Datos!T17+Datos!AL17))/(Datos!T17+Datos!AL17))," - ")</f>
        <v>-0.1440677966101695</v>
      </c>
      <c r="D17" s="455">
        <f>IF(ISNUMBER(
   IF(D_I="SI",(Datos!K17-Datos!U17)/Datos!U17,(Datos!K17+Datos!AE17-(Datos!U17+Datos!AM17))/(Datos!U17+Datos!AM17))
     ),IF(D_I="SI",(Datos!K17-Datos!U17)/Datos!U17,(Datos!K17+Datos!AE17-(Datos!U17+Datos!AM17))/(Datos!U17+Datos!AM17))," - ")</f>
        <v>1.0123456790123457</v>
      </c>
      <c r="E17" s="455">
        <f>IF(ISNUMBER(
   IF(D_I="SI",(Datos!L17-Datos!V17)/Datos!V17,(Datos!L17+Datos!AF17-(Datos!V17+Datos!AN17))/(Datos!V17+Datos!AN17))
     ),IF(D_I="SI",(Datos!L17-Datos!V17)/Datos!V17,(Datos!L17+Datos!AF17-(Datos!V17+Datos!AN17))/(Datos!V17+Datos!AN17))," - ")</f>
        <v>-0.24197530864197531</v>
      </c>
      <c r="F17" s="455">
        <f>IF(ISNUMBER((Datos!M17-Datos!W17)/Datos!W17),(Datos!M17-Datos!W17)/Datos!W17," - ")</f>
        <v>9.0909090909090912E-2</v>
      </c>
      <c r="G17" s="456">
        <f>IF(ISNUMBER((Datos!N17-Datos!X17)/Datos!X17),(Datos!N17-Datos!X17)/Datos!X17," - ")</f>
        <v>2.0270270270270272</v>
      </c>
      <c r="H17" s="454">
        <f>IF(ISNUMBER(((NºAsuntos!G17/NºAsuntos!E17)-Datos!BD17)/Datos!BD17),((NºAsuntos!G17/NºAsuntos!E17)-Datos!BD17)/Datos!BD17," - ")</f>
        <v>1.351057327955018</v>
      </c>
      <c r="I17" s="455">
        <f>IF(ISNUMBER(((NºAsuntos!I17/NºAsuntos!G17)-Datos!BE17)/Datos!BE17),((NºAsuntos!I17/NºAsuntos!G17)-Datos!BE17)/Datos!BE17," - ")</f>
        <v>-0.62331288343558278</v>
      </c>
      <c r="J17" s="460">
        <f>IF(ISNUMBER((('Resol  Asuntos'!D17/NºAsuntos!G17)-Datos!BF17)/Datos!BF17),(('Resol  Asuntos'!D17/NºAsuntos!G17)-Datos!BF17)/Datos!BF17," - ")</f>
        <v>-0.45789180145008357</v>
      </c>
      <c r="K17" s="461">
        <f>IF(ISNUMBER((((NºAsuntos!C17+NºAsuntos!E17)/NºAsuntos!G17)-Datos!BG17)/Datos!BG17),(((NºAsuntos!C17+NºAsuntos!E17)/NºAsuntos!G17)-Datos!BG17)/Datos!BG17," - ")</f>
        <v>-0.51942740286298572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-2.5947521865889212E-2</v>
      </c>
      <c r="C18" s="854">
        <f>IF(ISNUMBER(
   IF(Criterios!B14="SI",(Datos!J18-Datos!T18)/Datos!T18,(Datos!J18+Datos!AD18-(Datos!T18+Datos!AL18))/(Datos!T18+Datos!AL18))
     ),IF(Criterios!B14="SI",(Datos!J18-Datos!T18)/Datos!T18,(Datos!J18+Datos!AD18-(Datos!T18+Datos!AL18))/(Datos!T18+Datos!AL18))," - ")</f>
        <v>0.10772946859903382</v>
      </c>
      <c r="D18" s="854">
        <f>IF(ISNUMBER(
   IF(Criterios!B14="SI",(Datos!K18-Datos!U18)/Datos!U18,(Datos!K18+Datos!AE18-(Datos!U18+Datos!AM18))/(Datos!U18+Datos!AM18))
     ),IF(Criterios!B14="SI",(Datos!K18-Datos!U18)/Datos!U18,(Datos!K18+Datos!AE18-(Datos!U18+Datos!AM18))/(Datos!U18+Datos!AM18))," - ")</f>
        <v>9.0293453724604961E-4</v>
      </c>
      <c r="E18" s="854">
        <f>IF(ISNUMBER(
   IF(Criterios!B14="SI",(Datos!L18-Datos!V18)/Datos!V18,(Datos!L18+Datos!AF18-(Datos!V18+Datos!AN18))/(Datos!V18+Datos!AN18))
     ),IF(Criterios!B14="SI",(Datos!L18-Datos!V18)/Datos!V18,(Datos!L18+Datos!AF18-(Datos!V18+Datos!AN18))/(Datos!V18+Datos!AN18))," - ")</f>
        <v>3.6969696969696972E-2</v>
      </c>
      <c r="F18" s="855">
        <f>IF(ISNUMBER((Datos!M18-Datos!W18)/Datos!W18),(Datos!M18-Datos!W18)/Datos!W18," - ")</f>
        <v>-0.17272727272727273</v>
      </c>
      <c r="G18" s="856">
        <f>IF(ISNUMBER((Datos!N18-Datos!X18)/Datos!X18),(Datos!N18-Datos!X18)/Datos!X18," - ")</f>
        <v>0.13299418604651161</v>
      </c>
      <c r="H18" s="856">
        <f>IF(ISNUMBER(((NºAsuntos!G18/NºAsuntos!E18)-Datos!BD18)/Datos!BD18),((NºAsuntos!G18/NºAsuntos!E18)-Datos!BD18)/Datos!BD18," - ")</f>
        <v>-9.6437385742651885E-2</v>
      </c>
      <c r="I18" s="856">
        <f>IF(ISNUMBER(((NºAsuntos!I18/NºAsuntos!G18)-Datos!BE18)/Datos!BE18),((NºAsuntos!I18/NºAsuntos!G18)-Datos!BE18)/Datos!BE18," - ")</f>
        <v>3.6034225885376081E-2</v>
      </c>
      <c r="J18" s="856">
        <f>IF(ISNUMBER((('Resol  Asuntos'!D18/NºAsuntos!G18)-Datos!BF18)/Datos!BF18),(('Resol  Asuntos'!D18/NºAsuntos!G18)-Datos!BF18)/Datos!BF18," - ")</f>
        <v>-0.17347357198507402</v>
      </c>
      <c r="K18" s="856">
        <f>IF(ISNUMBER((((NºAsuntos!C18+NºAsuntos!E18)/NºAsuntos!G18)-Datos!BG18)/Datos!BG18),(((NºAsuntos!C18+NºAsuntos!E18)/NºAsuntos!G18)-Datos!BG18)/Datos!BG18," - ")</f>
        <v>2.3439537458481964E-2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6.2661627213049529E-3</v>
      </c>
      <c r="C19" s="801">
        <f>IF(ISNUMBER(
   IF(J_V="SI",(Datos!J19-Datos!T19)/Datos!T19,(Datos!J19+Datos!Z19-(Datos!T19+Datos!AH19))/(Datos!T19+Datos!AH19))
     ),IF(J_V="SI",(Datos!J19-Datos!T19)/Datos!T19,(Datos!J19+Datos!Z19-(Datos!T19+Datos!AH19))/(Datos!T19+Datos!AH19))," - ")</f>
        <v>-6.1451193571259749E-2</v>
      </c>
      <c r="D19" s="801">
        <f>IF(ISNUMBER(
   IF(J_V="SI",(Datos!K19-Datos!U19)/Datos!U19,(Datos!K19+Datos!AA19-(Datos!U19+Datos!AI19))/(Datos!U19+Datos!AI19))
     ),IF(J_V="SI",(Datos!K19-Datos!U19)/Datos!U19,(Datos!K19+Datos!AA19-(Datos!U19+Datos!AI19))/(Datos!U19+Datos!AI19))," - ")</f>
        <v>-7.8180525941719967E-2</v>
      </c>
      <c r="E19" s="801">
        <f>IF(ISNUMBER(
   IF(J_V="SI",(Datos!L19-Datos!V19)/Datos!V19,(Datos!L19+Datos!AB19-(Datos!V19+Datos!AJ19))/(Datos!V19+Datos!AJ19))
     ),IF(J_V="SI",(Datos!L19-Datos!V19)/Datos!V19,(Datos!L19+Datos!AB19-(Datos!V19+Datos!AJ19))/(Datos!V19+Datos!AJ19))," - ")</f>
        <v>1.1601388200297472E-2</v>
      </c>
      <c r="F19" s="802">
        <f>IF(ISNUMBER((Datos!M19-Datos!W19)/Datos!W19),(Datos!M19-Datos!W19)/Datos!W19," - ")</f>
        <v>-0.29652996845425866</v>
      </c>
      <c r="G19" s="803">
        <f>IF(ISNUMBER((Datos!N19-Datos!X19)/Datos!X19),(Datos!N19-Datos!X19)/Datos!X19," - ")</f>
        <v>4.2436974789915968E-2</v>
      </c>
      <c r="H19" s="804">
        <f>IF(ISNUMBER((Tasas!B19-Datos!BD19)/Datos!BD19),(Tasas!B19-Datos!BD19)/Datos!BD19," - ")</f>
        <v>-1.7824680246642438E-2</v>
      </c>
      <c r="I19" s="805">
        <f>IF(ISNUMBER((Tasas!C19-Datos!BE19)/Datos!BE19),(Tasas!C19-Datos!BE19)/Datos!BE19," - ")</f>
        <v>9.7396417268942728E-2</v>
      </c>
      <c r="J19" s="806">
        <f>IF(ISNUMBER((Tasas!D19-Datos!BF19)/Datos!BF19),(Tasas!D19-Datos!BF19)/Datos!BF19," - ")</f>
        <v>-0.60439431583420067</v>
      </c>
      <c r="K19" s="806">
        <f>IF(ISNUMBER((Tasas!E19-Datos!BG19)/Datos!BG19),(Tasas!E19-Datos!BG19)/Datos!BG19," - ")</f>
        <v>6.9850809425590701E-2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MjYRXhi598lEhUVVph0C0Px9J8e34QYPFvgFk8wJ7dd8oaKBEqe4sxiG7L/GiLJefEctBPyn8HzRh7DxP2ONQ==" saltValue="LNkLwGOlFMlns2R3MXOg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MARTORELL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v>
      </c>
      <c r="C10" s="442">
        <f>IF(ISNUMBER(NºAsuntos!I10/NºAsuntos!G10),NºAsuntos!I10/NºAsuntos!G10," - ")</f>
        <v>3.875</v>
      </c>
      <c r="D10" s="443">
        <f>IF(ISNUMBER('Resol  Asuntos'!D10/NºAsuntos!G10),'Resol  Asuntos'!D10/NºAsuntos!G10," - ")</f>
        <v>0.25</v>
      </c>
      <c r="E10" s="444">
        <f>IF(ISNUMBER((NºAsuntos!C10+NºAsuntos!E10)/NºAsuntos!G10),(NºAsuntos!C10+NºAsuntos!E10)/NºAsuntos!G10," - ")</f>
        <v>4.875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1.0024420024420024</v>
      </c>
      <c r="C12" s="442">
        <f>IF(ISNUMBER(NºAsuntos!I12/NºAsuntos!G12),NºAsuntos!I12/NºAsuntos!G12," - ")</f>
        <v>4.0535931790499387</v>
      </c>
      <c r="D12" s="443">
        <f>IF(ISNUMBER('Resol  Asuntos'!D12/NºAsuntos!G12),'Resol  Asuntos'!D12/NºAsuntos!G12," - ")</f>
        <v>0.15590742996345919</v>
      </c>
      <c r="E12" s="444">
        <f>IF(ISNUMBER((NºAsuntos!C12+NºAsuntos!E12)/NºAsuntos!G12),(NºAsuntos!C12+NºAsuntos!E12)/NºAsuntos!G12," - ")</f>
        <v>5.0535931790499387</v>
      </c>
      <c r="G12" s="462"/>
    </row>
    <row r="13" spans="1:7" ht="14.25" thickTop="1" thickBot="1">
      <c r="A13" s="847" t="str">
        <f>Datos!A13</f>
        <v>TOTAL</v>
      </c>
      <c r="B13" s="857">
        <f>IF(ISNUMBER(NºAsuntos!G13/NºAsuntos!E13),NºAsuntos!G13/NºAsuntos!E13," - ")</f>
        <v>0.99761620977353993</v>
      </c>
      <c r="C13" s="858">
        <f>IF(ISNUMBER(NºAsuntos!I13/NºAsuntos!G13),NºAsuntos!I13/NºAsuntos!G13," - ")</f>
        <v>4.0501792114695343</v>
      </c>
      <c r="D13" s="859">
        <f>IF(ISNUMBER('Resol  Asuntos'!D13/NºAsuntos!G13),'Resol  Asuntos'!D13/NºAsuntos!G13," - ")</f>
        <v>0.15770609318996415</v>
      </c>
      <c r="E13" s="860">
        <f>IF(ISNUMBER((NºAsuntos!C13+NºAsuntos!E13)/NºAsuntos!G13),(NºAsuntos!C13+NºAsuntos!E13)/NºAsuntos!G13," - ")</f>
        <v>5.0501792114695343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0.93704379562043794</v>
      </c>
      <c r="C16" s="442">
        <f>IF(ISNUMBER(NºAsuntos!I16/NºAsuntos!G16),NºAsuntos!I16/NºAsuntos!G16," - ")</f>
        <v>1.5165530671859786</v>
      </c>
      <c r="D16" s="443">
        <f>IF(ISNUMBER('Resol  Asuntos'!D16/NºAsuntos!G16),'Resol  Asuntos'!D16/NºAsuntos!G16," - ")</f>
        <v>8.2765335929892894E-2</v>
      </c>
      <c r="E16" s="444">
        <f>IF(ISNUMBER((NºAsuntos!C16+NºAsuntos!E16)/NºAsuntos!G16),(NºAsuntos!C16+NºAsuntos!E16)/NºAsuntos!G16," - ")</f>
        <v>2.5141187925998052</v>
      </c>
      <c r="G16" s="462"/>
    </row>
    <row r="17" spans="1:7" ht="21.75" thickBot="1">
      <c r="A17" s="401" t="str">
        <f>Datos!A17</f>
        <v>Jdos. Violencia contra la mujer/Secc Viol. TI.</v>
      </c>
      <c r="B17" s="441">
        <f>IF(ISNUMBER(NºAsuntos!G17/NºAsuntos!E17),NºAsuntos!G17/NºAsuntos!E17," - ")</f>
        <v>1.613861386138614</v>
      </c>
      <c r="C17" s="442">
        <f>IF(ISNUMBER(NºAsuntos!I17/NºAsuntos!G17),NºAsuntos!I17/NºAsuntos!G17," - ")</f>
        <v>1.8834355828220859</v>
      </c>
      <c r="D17" s="443">
        <f>IF(ISNUMBER('Resol  Asuntos'!D17/NºAsuntos!G17),'Resol  Asuntos'!D17/NºAsuntos!G17," - ")</f>
        <v>7.3619631901840496E-2</v>
      </c>
      <c r="E17" s="444">
        <f>IF(ISNUMBER((NºAsuntos!C17+NºAsuntos!E17)/NºAsuntos!G17),(NºAsuntos!C17+NºAsuntos!E17)/NºAsuntos!G17," - ")</f>
        <v>2.8834355828220857</v>
      </c>
      <c r="G17" s="462"/>
    </row>
    <row r="18" spans="1:7" ht="14.25" thickTop="1" thickBot="1">
      <c r="A18" s="847" t="str">
        <f>Datos!A18</f>
        <v>TOTAL</v>
      </c>
      <c r="B18" s="857">
        <f>IF(ISNUMBER(NºAsuntos!G18/NºAsuntos!E18),NºAsuntos!G18/NºAsuntos!E18," - ")</f>
        <v>0.96685564762320109</v>
      </c>
      <c r="C18" s="858">
        <f>IF(ISNUMBER(NºAsuntos!I18/NºAsuntos!G18),NºAsuntos!I18/NºAsuntos!G18," - ")</f>
        <v>1.5435272891294542</v>
      </c>
      <c r="D18" s="861">
        <f>IF(ISNUMBER('Resol  Asuntos'!D18/NºAsuntos!G18),'Resol  Asuntos'!D18/NºAsuntos!G18," - ")</f>
        <v>8.2092918358141628E-2</v>
      </c>
      <c r="E18" s="860">
        <f>IF(ISNUMBER((NºAsuntos!C18+NºAsuntos!E18)/NºAsuntos!G18),(NºAsuntos!C18+NºAsuntos!E18)/NºAsuntos!G18," - ")</f>
        <v>2.5412719891745601</v>
      </c>
      <c r="G18" s="462"/>
    </row>
    <row r="19" spans="1:7" ht="15.75" customHeight="1" thickTop="1" thickBot="1">
      <c r="A19" s="792" t="str">
        <f>Datos!A19</f>
        <v>TOTAL JURISDICCIONES</v>
      </c>
      <c r="B19" s="807">
        <f>IF(ISNUMBER(NºAsuntos!G19/NºAsuntos!E19),NºAsuntos!G19/NºAsuntos!E19," - ")</f>
        <v>0.97985394107277768</v>
      </c>
      <c r="C19" s="808">
        <f>IF(ISNUMBER(NºAsuntos!I19/NºAsuntos!G19),NºAsuntos!I19/NºAsuntos!G19," - ")</f>
        <v>2.6219480853251094</v>
      </c>
      <c r="D19" s="809">
        <f>IF(ISNUMBER('Resol  Asuntos'!D19/NºAsuntos!G19),'Resol  Asuntos'!D19/NºAsuntos!G19," - ")</f>
        <v>0.11462349010537137</v>
      </c>
      <c r="E19" s="810">
        <f>IF(ISNUMBER((NºAsuntos!C19+NºAsuntos!E19)/NºAsuntos!G19),(NºAsuntos!C19+NºAsuntos!E19)/NºAsuntos!G19," - ")</f>
        <v>3.620663068619892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P6b7VlsxND+lit988DziUL82sIbat50rtsNE/0i53kiiE7nqC1PP74R8TvIhgwmMRXZ6uryAYemh1VzT8eiqg==" saltValue="wnS73Fo2ABRpvNHMkR/i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MARTORELL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116</v>
      </c>
      <c r="G10" s="332">
        <f>IF(ISNUMBER(Datos!I10),Datos!I10," - ")</f>
        <v>116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13</v>
      </c>
      <c r="Y10" s="333">
        <f t="shared" ref="Y10:Y12" si="0">SUM(W10:X10)</f>
        <v>45</v>
      </c>
      <c r="Z10" s="334" t="str">
        <f>IF(ISNUMBER(Datos!CC10),Datos!CC10," - ")</f>
        <v xml:space="preserve"> - </v>
      </c>
      <c r="AA10" s="331">
        <f>IF(ISNUMBER(Datos!L10),Datos!L10,"-")</f>
        <v>124</v>
      </c>
      <c r="AB10" s="333">
        <f>IF(ISNUMBER(Datos!R10),Datos!R10," - ")</f>
        <v>139</v>
      </c>
      <c r="AC10" s="333">
        <f t="shared" ref="AC10:AC12" si="1">IF(ISNUMBER(AA10+AB10),AA10+AB10," - ")</f>
        <v>263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11.625</v>
      </c>
      <c r="AN10" s="243">
        <f>IF(ISNUMBER('Resol  Asuntos'!D10/NºAsuntos!G10),'Resol  Asuntos'!D10/NºAsuntos!G10," - ")</f>
        <v>0.25</v>
      </c>
      <c r="AO10" s="244">
        <f>IF(ISNUMBER((NºAsuntos!C10+NºAsuntos!E10)/NºAsuntos!G10),(NºAsuntos!C10+NºAsuntos!E10)/NºAsuntos!G10," - ")</f>
        <v>4.875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256</v>
      </c>
      <c r="Y12" s="333">
        <f t="shared" si="0"/>
        <v>256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9153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256</v>
      </c>
      <c r="AJ12" s="228" t="str">
        <f>IF(ISNUMBER(Datos!BW12),Datos!BW12," - ")</f>
        <v xml:space="preserve"> - </v>
      </c>
      <c r="AK12" s="227" t="str">
        <f>IF(ISNUMBER(Datos!BX12),Datos!BX12," - ")</f>
        <v xml:space="preserve"> - </v>
      </c>
      <c r="AL12" s="242">
        <f>IF(ISNUMBER(NºAsuntos!G12/NºAsuntos!E12),NºAsuntos!G12/NºAsuntos!E12," - ")</f>
        <v>1.0024420024420024</v>
      </c>
      <c r="AM12" s="259">
        <f>IF(ISNUMBER(((NºAsuntos!I12/NºAsuntos!G12)*11)/factor_trimestre),((NºAsuntos!I12/NºAsuntos!G12)*11)/factor_trimestre," - ")</f>
        <v>12.160779537149816</v>
      </c>
      <c r="AN12" s="243">
        <f>IF(ISNUMBER('Resol  Asuntos'!D12/NºAsuntos!G12),'Resol  Asuntos'!D12/NºAsuntos!G12," - ")</f>
        <v>0.15590742996345919</v>
      </c>
      <c r="AO12" s="244">
        <f>IF(ISNUMBER((NºAsuntos!C12+NºAsuntos!E12)/NºAsuntos!G12),(NºAsuntos!C12+NºAsuntos!E12)/NºAsuntos!G12," - ")</f>
        <v>5.0535931790499387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116</v>
      </c>
      <c r="G13" s="865">
        <f t="shared" si="3"/>
        <v>116</v>
      </c>
      <c r="H13" s="864">
        <f t="shared" si="3"/>
        <v>0</v>
      </c>
      <c r="I13" s="866">
        <f t="shared" si="3"/>
        <v>0</v>
      </c>
      <c r="J13" s="866">
        <f t="shared" si="3"/>
        <v>0</v>
      </c>
      <c r="K13" s="866">
        <f t="shared" si="3"/>
        <v>0</v>
      </c>
      <c r="L13" s="866">
        <f t="shared" si="3"/>
        <v>709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v>
      </c>
      <c r="X13" s="866">
        <f t="shared" si="4"/>
        <v>269</v>
      </c>
      <c r="Y13" s="867">
        <f t="shared" si="4"/>
        <v>301</v>
      </c>
      <c r="Z13" s="867">
        <f t="shared" si="4"/>
        <v>0</v>
      </c>
      <c r="AA13" s="867">
        <f t="shared" si="4"/>
        <v>124</v>
      </c>
      <c r="AB13" s="867">
        <f t="shared" si="4"/>
        <v>9292</v>
      </c>
      <c r="AC13" s="867">
        <f t="shared" si="4"/>
        <v>263</v>
      </c>
      <c r="AD13" s="867">
        <f t="shared" si="4"/>
        <v>0</v>
      </c>
      <c r="AE13" s="871">
        <f t="shared" si="4"/>
        <v>0</v>
      </c>
      <c r="AF13" s="864">
        <f t="shared" si="4"/>
        <v>0</v>
      </c>
      <c r="AG13" s="872">
        <f t="shared" si="4"/>
        <v>0</v>
      </c>
      <c r="AH13" s="869">
        <f t="shared" si="4"/>
        <v>0</v>
      </c>
      <c r="AI13" s="864">
        <f t="shared" si="4"/>
        <v>264</v>
      </c>
      <c r="AJ13" s="866">
        <f t="shared" si="4"/>
        <v>0</v>
      </c>
      <c r="AK13" s="869">
        <f>SUBTOTAL(9,AK9:AK12)</f>
        <v>0</v>
      </c>
      <c r="AL13" s="873">
        <f>IF(ISNUMBER(NºAsuntos!G13/NºAsuntos!E13),NºAsuntos!G13/NºAsuntos!E13," - ")</f>
        <v>0.99761620977353993</v>
      </c>
      <c r="AM13" s="873">
        <f>IF(ISNUMBER(((NºAsuntos!I13/NºAsuntos!G13)*11)/factor_trimestre),((NºAsuntos!I13/NºAsuntos!G13)*11)/factor_trimestre," - ")</f>
        <v>12.150537634408602</v>
      </c>
      <c r="AN13" s="874">
        <f>IF(ISNUMBER('Resol  Asuntos'!D13/NºAsuntos!G13),'Resol  Asuntos'!D13/NºAsuntos!G13," - ")</f>
        <v>0.15770609318996415</v>
      </c>
      <c r="AO13" s="875">
        <f>IF(ISNUMBER((NºAsuntos!C13+NºAsuntos!E13)/NºAsuntos!G13),(NºAsuntos!C13+NºAsuntos!E13)/NºAsuntos!G13," - ")</f>
        <v>5.0501792114695343</v>
      </c>
      <c r="AP13" s="876" t="str">
        <f t="shared" si="2"/>
        <v xml:space="preserve"> - </v>
      </c>
      <c r="AQ13" s="876">
        <f>IF(ISNUMBER((H13-W13+K13)/(F13)),(H13-W13+K13)/(F13)," - ")</f>
        <v>-0.27586206896551724</v>
      </c>
      <c r="AR13" s="877">
        <f>IF(ISNUMBER((Datos!P13-Datos!Q13)/(Datos!R13-Datos!P13+Datos!Q13)),(Datos!P13-Datos!Q13)/(Datos!R13-Datos!P13+Datos!Q13)," - ")</f>
        <v>4.9706281066425669E-2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2977</v>
      </c>
      <c r="G16" s="332">
        <f>IF(ISNUMBER(IF(D_I="SI",Datos!I16,Datos!I16+Datos!AC16)),IF(D_I="SI",Datos!I16,Datos!I16+Datos!AC16)," - ")</f>
        <v>2972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2054</v>
      </c>
      <c r="X16" s="225">
        <f>IF(ISNUMBER(Datos!Q16),Datos!Q16," - ")</f>
        <v>38</v>
      </c>
      <c r="Y16" s="333">
        <f t="shared" ref="Y16:Y17" si="7">SUM(W16:X16)</f>
        <v>2092</v>
      </c>
      <c r="Z16" s="334" t="str">
        <f>IF(ISNUMBER(Datos!CC16),Datos!CC16," - ")</f>
        <v xml:space="preserve"> - </v>
      </c>
      <c r="AA16" s="331">
        <f>IF(ISNUMBER(IF(D_I="SI",Datos!L16,Datos!L16+Datos!AF16)),IF(D_I="SI",Datos!L16,Datos!L16+Datos!AF16)," - ")</f>
        <v>3115</v>
      </c>
      <c r="AB16" s="333">
        <f>IF(ISNUMBER(Datos!R16),Datos!R16," - ")</f>
        <v>244</v>
      </c>
      <c r="AC16" s="333">
        <f t="shared" si="6"/>
        <v>3359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170</v>
      </c>
      <c r="AJ16" s="230" t="str">
        <f>IF(ISNUMBER(Datos!BW16),Datos!BW16," - ")</f>
        <v xml:space="preserve"> - </v>
      </c>
      <c r="AK16" s="231" t="str">
        <f>IF(ISNUMBER(Datos!BX16),Datos!BX16," - ")</f>
        <v xml:space="preserve"> - </v>
      </c>
      <c r="AL16" s="242">
        <f>IF(ISNUMBER(NºAsuntos!G16/NºAsuntos!E16),NºAsuntos!G16/NºAsuntos!E16," - ")</f>
        <v>0.93704379562043794</v>
      </c>
      <c r="AM16" s="259">
        <f>IF(ISNUMBER(((NºAsuntos!I16/NºAsuntos!G16)*11)/factor_trimestre),((NºAsuntos!I16/NºAsuntos!G16)*11)/factor_trimestre," - ")</f>
        <v>4.5496592015579358</v>
      </c>
      <c r="AN16" s="243">
        <f>IF(ISNUMBER('Resol  Asuntos'!D16/NºAsuntos!G16),'Resol  Asuntos'!D16/NºAsuntos!G16," - ")</f>
        <v>8.2765335929892894E-2</v>
      </c>
      <c r="AO16" s="244">
        <f>IF(ISNUMBER((NºAsuntos!C16+NºAsuntos!E16)/NºAsuntos!G16),(NºAsuntos!C16+NºAsuntos!E16)/NºAsuntos!G16," - ")</f>
        <v>2.5141187925998052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163</v>
      </c>
      <c r="X17" s="225">
        <f>IF(ISNUMBER(Datos!Q17),Datos!Q17," - ")</f>
        <v>0</v>
      </c>
      <c r="Y17" s="333">
        <f t="shared" si="7"/>
        <v>163</v>
      </c>
      <c r="Z17" s="334" t="str">
        <f>IF(ISNUMBER(Datos!CC17),Datos!CC17," - ")</f>
        <v xml:space="preserve"> - </v>
      </c>
      <c r="AA17" s="331">
        <f>IF(ISNUMBER(Datos!L17),Datos!L17,"-")</f>
        <v>307</v>
      </c>
      <c r="AB17" s="333">
        <f>IF(ISNUMBER(Datos!R17),Datos!R17," - ")</f>
        <v>6</v>
      </c>
      <c r="AC17" s="333">
        <f t="shared" si="6"/>
        <v>313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1.613861386138614</v>
      </c>
      <c r="AM17" s="259">
        <f>IF(ISNUMBER(((NºAsuntos!I17/NºAsuntos!G17)*11)/factor_trimestre),((NºAsuntos!I17/NºAsuntos!G17)*11)/factor_trimestre," - ")</f>
        <v>5.6503067484662584</v>
      </c>
      <c r="AN17" s="243">
        <f>IF(ISNUMBER('Resol  Asuntos'!D17/NºAsuntos!G17),'Resol  Asuntos'!D17/NºAsuntos!G17," - ")</f>
        <v>7.3619631901840496E-2</v>
      </c>
      <c r="AO17" s="244">
        <f>IF(ISNUMBER((NºAsuntos!C17+NºAsuntos!E17)/NºAsuntos!G17),(NºAsuntos!C17+NºAsuntos!E17)/NºAsuntos!G17," - ")</f>
        <v>2.8834355828220857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2977</v>
      </c>
      <c r="G18" s="865">
        <f>SUBTOTAL(9,G15:G17)</f>
        <v>3341</v>
      </c>
      <c r="H18" s="864">
        <f t="shared" ref="H18:O18" si="10">SUBTOTAL(9,H14:H17)</f>
        <v>0</v>
      </c>
      <c r="I18" s="866">
        <f t="shared" si="10"/>
        <v>0</v>
      </c>
      <c r="J18" s="866">
        <f t="shared" si="10"/>
        <v>0</v>
      </c>
      <c r="K18" s="866">
        <f t="shared" si="10"/>
        <v>0</v>
      </c>
      <c r="L18" s="866">
        <f t="shared" si="10"/>
        <v>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2217</v>
      </c>
      <c r="X18" s="866">
        <f t="shared" si="11"/>
        <v>38</v>
      </c>
      <c r="Y18" s="867">
        <f t="shared" si="11"/>
        <v>2255</v>
      </c>
      <c r="Z18" s="867">
        <f t="shared" si="11"/>
        <v>0</v>
      </c>
      <c r="AA18" s="867">
        <f t="shared" si="11"/>
        <v>3422</v>
      </c>
      <c r="AB18" s="867">
        <f t="shared" si="11"/>
        <v>250</v>
      </c>
      <c r="AC18" s="867">
        <f t="shared" si="11"/>
        <v>3672</v>
      </c>
      <c r="AD18" s="867">
        <f t="shared" si="11"/>
        <v>0</v>
      </c>
      <c r="AE18" s="871">
        <f t="shared" si="11"/>
        <v>0</v>
      </c>
      <c r="AF18" s="864">
        <f t="shared" si="11"/>
        <v>0</v>
      </c>
      <c r="AG18" s="872">
        <f t="shared" si="11"/>
        <v>0</v>
      </c>
      <c r="AH18" s="869">
        <f t="shared" si="11"/>
        <v>0</v>
      </c>
      <c r="AI18" s="864">
        <f t="shared" si="11"/>
        <v>182</v>
      </c>
      <c r="AJ18" s="866">
        <f t="shared" si="11"/>
        <v>0</v>
      </c>
      <c r="AK18" s="869">
        <f t="shared" si="11"/>
        <v>0</v>
      </c>
      <c r="AL18" s="873">
        <f>IF(ISNUMBER(NºAsuntos!G18/NºAsuntos!E18),NºAsuntos!G18/NºAsuntos!E18," - ")</f>
        <v>0.96685564762320109</v>
      </c>
      <c r="AM18" s="873">
        <f>IF(ISNUMBER(((NºAsuntos!I18/NºAsuntos!G18)*11)/factor_trimestre),((NºAsuntos!I18/NºAsuntos!G18)*11)/factor_trimestre," - ")</f>
        <v>4.6305818673883623</v>
      </c>
      <c r="AN18" s="874">
        <f>IF(ISNUMBER('Resol  Asuntos'!D18/NºAsuntos!G18),'Resol  Asuntos'!D18/NºAsuntos!G18," - ")</f>
        <v>8.2092918358141628E-2</v>
      </c>
      <c r="AO18" s="875">
        <f>IF(ISNUMBER((NºAsuntos!C18+NºAsuntos!E18)/NºAsuntos!G18),(NºAsuntos!C18+NºAsuntos!E18)/NºAsuntos!G18," - ")</f>
        <v>2.5412719891745601</v>
      </c>
      <c r="AP18" s="876" t="str">
        <f t="shared" si="2"/>
        <v xml:space="preserve"> - </v>
      </c>
      <c r="AQ18" s="876">
        <f>IF(ISNUMBER((H18-W18+K18)/(F18)),(H18-W18+K18)/(F18)," - ")</f>
        <v>-0.74470943903258313</v>
      </c>
      <c r="AR18" s="877">
        <f>IF(ISNUMBER((Datos!P18-Datos!Q18)/(Datos!R18-Datos!P18+Datos!Q18)),(Datos!P18-Datos!Q18)/(Datos!R18-Datos!P18+Datos!Q18)," - ")</f>
        <v>-2.7237354085603113E-2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3093</v>
      </c>
      <c r="G19" s="820">
        <f t="shared" si="13"/>
        <v>3457</v>
      </c>
      <c r="H19" s="819">
        <f t="shared" si="13"/>
        <v>0</v>
      </c>
      <c r="I19" s="821">
        <f t="shared" si="13"/>
        <v>0</v>
      </c>
      <c r="J19" s="821">
        <f t="shared" si="13"/>
        <v>0</v>
      </c>
      <c r="K19" s="880">
        <f t="shared" si="13"/>
        <v>0</v>
      </c>
      <c r="L19" s="821">
        <f t="shared" si="13"/>
        <v>740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2249</v>
      </c>
      <c r="X19" s="820">
        <f t="shared" si="14"/>
        <v>307</v>
      </c>
      <c r="Y19" s="827">
        <f t="shared" si="14"/>
        <v>2556</v>
      </c>
      <c r="Z19" s="827">
        <f t="shared" si="14"/>
        <v>0</v>
      </c>
      <c r="AA19" s="827">
        <f t="shared" si="14"/>
        <v>3546</v>
      </c>
      <c r="AB19" s="827">
        <f t="shared" si="14"/>
        <v>9542</v>
      </c>
      <c r="AC19" s="827">
        <f t="shared" si="14"/>
        <v>3935</v>
      </c>
      <c r="AD19" s="827">
        <f t="shared" si="14"/>
        <v>0</v>
      </c>
      <c r="AE19" s="829">
        <f t="shared" si="14"/>
        <v>0</v>
      </c>
      <c r="AF19" s="830">
        <f t="shared" si="14"/>
        <v>0</v>
      </c>
      <c r="AG19" s="831">
        <f t="shared" si="14"/>
        <v>0</v>
      </c>
      <c r="AH19" s="829">
        <f t="shared" si="14"/>
        <v>0</v>
      </c>
      <c r="AI19" s="819">
        <f t="shared" si="14"/>
        <v>446</v>
      </c>
      <c r="AJ19" s="819">
        <f t="shared" si="14"/>
        <v>0</v>
      </c>
      <c r="AK19" s="829">
        <f t="shared" si="14"/>
        <v>0</v>
      </c>
      <c r="AL19" s="883">
        <f>IF(ISNUMBER(NºAsuntos!G19/NºAsuntos!E19),NºAsuntos!G19/NºAsuntos!E19," - ")</f>
        <v>0.97985394107277768</v>
      </c>
      <c r="AM19" s="884">
        <f>IF(ISNUMBER(((NºAsuntos!I19/NºAsuntos!G19)*11)/factor_trimestre),((NºAsuntos!I19/NºAsuntos!G19)*11)/factor_trimestre," - ")</f>
        <v>7.865844255975329</v>
      </c>
      <c r="AN19" s="884">
        <f>IF(ISNUMBER('Resol  Asuntos'!D19/NºAsuntos!G19),'Resol  Asuntos'!D19/NºAsuntos!G19," - ")</f>
        <v>0.11462349010537137</v>
      </c>
      <c r="AO19" s="885">
        <f>IF(ISNUMBER((NºAsuntos!C19+NºAsuntos!E19)/NºAsuntos!G19),(NºAsuntos!C19+NºAsuntos!E19)/NºAsuntos!G19," - ")</f>
        <v>3.620663068619892</v>
      </c>
      <c r="AP19" s="886" t="str">
        <f t="shared" si="2"/>
        <v xml:space="preserve"> - </v>
      </c>
      <c r="AQ19" s="887">
        <f>IF(OR(ISNUMBER(FIND("01",Criterios!A8,1)),ISNUMBER(FIND("02",Criterios!A8,1)),ISNUMBER(FIND("03",Criterios!A8,1)),ISNUMBER(FIND("04",Criterios!A8,1))),(I19-W19+K19)/(F19-K19),(H19-W19+K19)/(F19-K19))</f>
        <v>-0.72712576786291627</v>
      </c>
      <c r="AR19" s="888">
        <f>IF(ISNUMBER((Datos!P19-Datos!Q19)/(Datos!R19-Datos!P19+Datos!Q19)),(Datos!P19-Datos!Q19)/(Datos!R19-Datos!P19+Datos!Q19)," - ")</f>
        <v>4.7535404544955535E-2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1382.8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1651.7991201515194</v>
      </c>
      <c r="G21" s="252">
        <f>IF(ISNUMBER(STDEV(G8:G18)),STDEV(G8:G18),"-")</f>
        <v>1627.6869170697416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1130.9532704758408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113.88883468833399</v>
      </c>
      <c r="AJ21" s="251">
        <f t="shared" si="18"/>
        <v>0</v>
      </c>
      <c r="AK21" s="253">
        <f t="shared" si="18"/>
        <v>0</v>
      </c>
      <c r="AL21" s="248">
        <f t="shared" si="18"/>
        <v>0.2846277060024644</v>
      </c>
      <c r="AM21" s="249">
        <f t="shared" si="18"/>
        <v>3.8776961954475935</v>
      </c>
      <c r="AN21" s="249">
        <f t="shared" si="18"/>
        <v>6.8501725526938131E-2</v>
      </c>
      <c r="AO21" s="250">
        <f t="shared" si="18"/>
        <v>1.2935023017968337</v>
      </c>
      <c r="AP21" s="290" t="str">
        <f t="shared" si="18"/>
        <v>-</v>
      </c>
      <c r="AQ21" s="291">
        <f t="shared" si="18"/>
        <v>0.33152515471590105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3CPMX0lWtAhfhiV0bSPwWo2FcCC9iQGn8BIH+86Ykl0gQILIVtVQpzYfYO2lVB5z6rzMan6OBqs1eEZVzorzg==" saltValue="px5Wsd5hqDK5Mb9Vuk7X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MARTORELL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0.18367346938775511</v>
      </c>
      <c r="E10" s="347">
        <f>IF(ISNUMBER((Datos!J10-Datos!T10)/Datos!T10),(Datos!J10-Datos!T10)/Datos!T10," - ")</f>
        <v>0.66666666666666663</v>
      </c>
      <c r="F10" s="347">
        <f>IF(ISNUMBER((Datos!K10-Datos!U10)/Datos!U10),(Datos!K10-Datos!U10)/Datos!U10," - ")</f>
        <v>1.6666666666666667</v>
      </c>
      <c r="G10" s="348">
        <f>IF(ISNUMBER((Datos!L10-Datos!V10)/Datos!V10),(Datos!L10-Datos!V10)/Datos!V10," - ")</f>
        <v>0.12727272727272726</v>
      </c>
      <c r="H10" s="229">
        <f>IF(ISNUMBER((Datos!M10-Datos!W10)/Datos!W10),(Datos!M10-Datos!W10)/Datos!W10," - ")</f>
        <v>1</v>
      </c>
      <c r="I10" s="349">
        <f>IF(ISNUMBER((Tasas!C10-Datos!BE10)/Datos!BE10),(Tasas!C10-Datos!BE10)/Datos!BE10," - ")</f>
        <v>-0.57727272727272727</v>
      </c>
      <c r="J10" s="348">
        <f>IF(ISNUMBER((Tasas!D10-Datos!BF10)/Datos!BF10),(Tasas!D10-Datos!BF10)/Datos!BF10," - ")</f>
        <v>-0.24999999999999994</v>
      </c>
      <c r="K10" s="350">
        <f>IF(ISNUMBER((Tasas!E10-Datos!BG10)/Datos!BG10),(Tasas!E10-Datos!BG10)/Datos!BG10," - ")</f>
        <v>-0.52049180327868849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-0.37560975609756098</v>
      </c>
      <c r="I12" s="349">
        <f>IF(ISNUMBER((Tasas!C12-Datos!BE12)/Datos!BE12),(Tasas!C12-Datos!BE12)/Datos!BE12," - ")</f>
        <v>0.21091607476038612</v>
      </c>
      <c r="J12" s="348">
        <f>IF(ISNUMBER((Tasas!D12-Datos!BF12)/Datos!BF12),(Tasas!D12-Datos!BF12)/Datos!BF12," - ")</f>
        <v>-0.68880939404690933</v>
      </c>
      <c r="K12" s="350">
        <f>IF(ISNUMBER((Tasas!E12-Datos!BG12)/Datos!BG12),(Tasas!E12-Datos!BG12)/Datos!BG12," - ")</f>
        <v>0.16320729528172434</v>
      </c>
      <c r="M12" t="e">
        <f>IF(Monitorios="SI",Datos!CE12,0)</f>
        <v>#REF!</v>
      </c>
      <c r="N12" t="e">
        <f>IF(Monitorios="SI",Datos!CF12,0)</f>
        <v>#REF!</v>
      </c>
      <c r="O12" t="e">
        <f>IF(Monitorios="SI",Datos!CG12,0)</f>
        <v>#REF!</v>
      </c>
      <c r="P12" t="e">
        <f>IF(Monitorios="SI",Datos!CH12,0)</f>
        <v>#REF!</v>
      </c>
      <c r="Q12">
        <f>IF(J_V="SI",0,Datos!AG12)</f>
        <v>398</v>
      </c>
      <c r="R12">
        <f>IF(J_V="SI",0,Datos!AH12)</f>
        <v>149</v>
      </c>
      <c r="S12">
        <f>IF(J_V="SI",0,Datos!AI12)</f>
        <v>186</v>
      </c>
      <c r="T12">
        <f>IF(J_V="SI",0,Datos!AJ12)</f>
        <v>367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-0.36231884057971014</v>
      </c>
      <c r="I13" s="356">
        <f>IF(ISNUMBER((Tasas!C13-Datos!BE13)/Datos!BE13),(Tasas!C13-Datos!BE13)/Datos!BE13," - ")</f>
        <v>0.19744428860838406</v>
      </c>
      <c r="J13" s="354">
        <f>IF(ISNUMBER((Tasas!D13-Datos!BF13)/Datos!BF13),(Tasas!D13-Datos!BF13)/Datos!BF13," - ")</f>
        <v>-0.68458781362007171</v>
      </c>
      <c r="K13" s="357">
        <f>IF(ISNUMBER((Tasas!E13-Datos!BG13)/Datos!BG13),(Tasas!E13-Datos!BG13)/Datos!BG13," - ")</f>
        <v>0.15317694914147814</v>
      </c>
      <c r="M13" t="e">
        <f>IF(Monitorios="SI",Datos!CE13,0)</f>
        <v>#REF!</v>
      </c>
      <c r="N13" t="e">
        <f>IF(Monitorios="SI",Datos!CF13,0)</f>
        <v>#REF!</v>
      </c>
      <c r="O13" t="e">
        <f>IF(Monitorios="SI",Datos!CG13,0)</f>
        <v>#REF!</v>
      </c>
      <c r="P13" t="e">
        <f>IF(Monitorios="SI",Datos!CH13,0)</f>
        <v>#REF!</v>
      </c>
      <c r="Q13">
        <f>IF(J_V="SI",0,Datos!AG13)</f>
        <v>398</v>
      </c>
      <c r="R13">
        <f>IF(J_V="SI",0,Datos!AH13)</f>
        <v>149</v>
      </c>
      <c r="S13">
        <f>IF(J_V="SI",0,Datos!AI13)</f>
        <v>186</v>
      </c>
      <c r="T13">
        <f>IF(J_V="SI",0,Datos!AJ13)</f>
        <v>367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-2.9392553886348791E-2</v>
      </c>
      <c r="E16" s="347">
        <f>IF(ISNUMBER(
   IF(D_I="SI",(Datos!J16-Datos!T16)/Datos!T16,(Datos!J16+Datos!AD16-(Datos!T16+Datos!AL16))/(Datos!T16+Datos!AL16))
     ),IF(D_I="SI",(Datos!J16-Datos!T16)/Datos!T16,(Datos!J16+Datos!AD16-(Datos!T16+Datos!AL16))/(Datos!T16+Datos!AL16))," - ")</f>
        <v>0.12295081967213115</v>
      </c>
      <c r="F16" s="347">
        <f>IF(ISNUMBER(
   IF(D_I="SI",(Datos!K16-Datos!U16)/Datos!U16,(Datos!K16+Datos!AE16-(Datos!U16+Datos!AM16))/(Datos!U16+Datos!AM16))
     ),IF(D_I="SI",(Datos!K16-Datos!U16)/Datos!U16,(Datos!K16+Datos!AE16-(Datos!U16+Datos!AM16))/(Datos!U16+Datos!AM16))," - ")</f>
        <v>-3.7488284910965321E-2</v>
      </c>
      <c r="G16" s="348">
        <f>IF(ISNUMBER(
   IF(D_I="SI",(Datos!L16-Datos!V16)/Datos!V16,(Datos!L16+Datos!AF16-(Datos!V16+Datos!AN16))/(Datos!V16+Datos!AN16))
     ),IF(D_I="SI",(Datos!L16-Datos!V16)/Datos!V16,(Datos!L16+Datos!AF16-(Datos!V16+Datos!AN16))/(Datos!V16+Datos!AN16))," - ")</f>
        <v>7.599309153713299E-2</v>
      </c>
      <c r="H16" s="229">
        <f>IF(ISNUMBER((Datos!M16-Datos!W16)/Datos!W16),(Datos!M16-Datos!W16)/Datos!W16," - ")</f>
        <v>-0.18660287081339713</v>
      </c>
      <c r="I16" s="349">
        <f>IF(ISNUMBER((Tasas!C16-Datos!BE16)/Datos!BE16),(Tasas!C16-Datos!BE16)/Datos!BE16," - ")</f>
        <v>0.11790129373916354</v>
      </c>
      <c r="J16" s="348">
        <f>IF(ISNUMBER((Tasas!D16-Datos!BF16)/Datos!BF16),(Tasas!D16-Datos!BF16)/Datos!BF16," - ")</f>
        <v>-0.15492235945267255</v>
      </c>
      <c r="K16" s="350">
        <f>IF(ISNUMBER((Tasas!E16-Datos!BG16)/Datos!BG16),(Tasas!E16-Datos!BG16)/Datos!BG16," - ")</f>
        <v>7.0029817193455093E-2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2.717391304347826E-3</v>
      </c>
      <c r="E17" s="347">
        <f>IF(ISNUMBER(
   IF(D_I="SI",(Datos!J17-Datos!T17)/Datos!T17,(Datos!J17+Datos!AD17-(Datos!T17+Datos!AL17))/(Datos!T17+Datos!AL17))
     ),IF(D_I="SI",(Datos!J17-Datos!T17)/Datos!T17,(Datos!J17+Datos!AD17-(Datos!T17+Datos!AL17))/(Datos!T17+Datos!AL17))," - ")</f>
        <v>-0.1440677966101695</v>
      </c>
      <c r="F17" s="347">
        <f>IF(ISNUMBER(
   IF(D_I="SI",(Datos!K17-Datos!U17)/Datos!U17,(Datos!K17+Datos!AE17-(Datos!U17+Datos!AM17))/(Datos!U17+Datos!AM17))
     ),IF(D_I="SI",(Datos!K17-Datos!U17)/Datos!U17,(Datos!K17+Datos!AE17-(Datos!U17+Datos!AM17))/(Datos!U17+Datos!AM17))," - ")</f>
        <v>1.0123456790123457</v>
      </c>
      <c r="G17" s="348">
        <f>IF(ISNUMBER(
   IF(D_I="SI",(Datos!L17-Datos!V17)/Datos!V17,(Datos!L17+Datos!AF17-(Datos!V17+Datos!AN17))/(Datos!V17+Datos!AN17))
     ),IF(D_I="SI",(Datos!L17-Datos!V17)/Datos!V17,(Datos!L17+Datos!AF17-(Datos!V17+Datos!AN17))/(Datos!V17+Datos!AN17))," - ")</f>
        <v>-0.24197530864197531</v>
      </c>
      <c r="H17" s="229">
        <f>IF(ISNUMBER((Datos!M17-Datos!W17)/Datos!W17),(Datos!M17-Datos!W17)/Datos!W17," - ")</f>
        <v>9.0909090909090912E-2</v>
      </c>
      <c r="I17" s="349">
        <f>IF(ISNUMBER((Tasas!C17-Datos!BE17)/Datos!BE17),(Tasas!C17-Datos!BE17)/Datos!BE17," - ")</f>
        <v>-0.62331288343558278</v>
      </c>
      <c r="J17" s="348">
        <f>IF(ISNUMBER((Tasas!D17-Datos!BF17)/Datos!BF17),(Tasas!D17-Datos!BF17)/Datos!BF17," - ")</f>
        <v>-0.45789180145008357</v>
      </c>
      <c r="K17" s="350">
        <f>IF(ISNUMBER((Tasas!E17-Datos!BG17)/Datos!BG17),(Tasas!E17-Datos!BG17)/Datos!BG17," - ")</f>
        <v>-0.51942740286298572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-2.5947521865889212E-2</v>
      </c>
      <c r="E18" s="353">
        <f>IF(ISNUMBER(
   IF(D_I="SI",(Datos!J18-Datos!T18)/Datos!T18,(Datos!J18+Datos!AD18-(Datos!T18+Datos!AL18))/(Datos!T18+Datos!AL18))
     ),IF(D_I="SI",(Datos!J18-Datos!T18)/Datos!T18,(Datos!J18+Datos!AD18-(Datos!T18+Datos!AL18))/(Datos!T18+Datos!AL18))," - ")</f>
        <v>0.10772946859903382</v>
      </c>
      <c r="F18" s="353">
        <f>IF(ISNUMBER(
   IF(D_I="SI",(Datos!K18-Datos!U18)/Datos!U18,(Datos!K18+Datos!AE18-(Datos!U18+Datos!AM18))/(Datos!U18+Datos!AM18))
     ),IF(D_I="SI",(Datos!K18-Datos!U18)/Datos!U18,(Datos!K18+Datos!AE18-(Datos!U18+Datos!AM18))/(Datos!U18+Datos!AM18))," - ")</f>
        <v>9.0293453724604961E-4</v>
      </c>
      <c r="G18" s="354">
        <f>IF(ISNUMBER(
   IF(D_I="SI",(Datos!L18-Datos!V18)/Datos!V18,(Datos!L18+Datos!AF18-(Datos!V18+Datos!AN18))/(Datos!V18+Datos!AN18))
     ),IF(D_I="SI",(Datos!L18-Datos!V18)/Datos!V18,(Datos!L18+Datos!AF18-(Datos!V18+Datos!AN18))/(Datos!V18+Datos!AN18))," - ")</f>
        <v>3.6969696969696972E-2</v>
      </c>
      <c r="H18" s="355">
        <f>IF(ISNUMBER((Datos!M18-Datos!W18)/Datos!W18),(Datos!M18-Datos!W18)/Datos!W18," - ")</f>
        <v>-0.17272727272727273</v>
      </c>
      <c r="I18" s="356">
        <f>IF(ISNUMBER((Tasas!C18-Datos!BE18)/Datos!BE18),(Tasas!C18-Datos!BE18)/Datos!BE18," - ")</f>
        <v>3.6034225885376081E-2</v>
      </c>
      <c r="J18" s="354">
        <f>IF(ISNUMBER((Tasas!D18-Datos!BF18)/Datos!BF18),(Tasas!D18-Datos!BF18)/Datos!BF18," - ")</f>
        <v>-0.17347357198507402</v>
      </c>
      <c r="K18" s="357">
        <f>IF(ISNUMBER((Tasas!E18-Datos!BG18)/Datos!BG18),(Tasas!E18-Datos!BG18)/Datos!BG18," - ")</f>
        <v>2.3439537458481964E-2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6.2661627213049529E-3</v>
      </c>
      <c r="E19" s="362">
        <f>IF(ISNUMBER(
   IF(J_V="SI",(Datos!J19-Datos!T19)/Datos!T19,(Datos!J19+Datos!Z19-(Datos!T19+Datos!AH19))/(Datos!T19+Datos!AH19))
     ),IF(J_V="SI",(Datos!J19-Datos!T19)/Datos!T19,(Datos!J19+Datos!Z19-(Datos!T19+Datos!AH19))/(Datos!T19+Datos!AH19))," - ")</f>
        <v>-6.1451193571259749E-2</v>
      </c>
      <c r="F19" s="362">
        <f>IF(ISNUMBER(
   IF(J_V="SI",(Datos!K19-Datos!U19)/Datos!U19,(Datos!K19+Datos!AA19-(Datos!U19+Datos!AI19))/(Datos!U19+Datos!AI19))
     ),IF(J_V="SI",(Datos!K19-Datos!U19)/Datos!U19,(Datos!K19+Datos!AA19-(Datos!U19+Datos!AI19))/(Datos!U19+Datos!AI19))," - ")</f>
        <v>-7.8180525941719967E-2</v>
      </c>
      <c r="G19" s="363">
        <f>IF(ISNUMBER(
   IF(J_V="SI",(Datos!L19-Datos!V19)/Datos!V19,(Datos!L19+Datos!AB19-(Datos!V19+Datos!AJ19))/(Datos!V19+Datos!AJ19))
     ),IF(J_V="SI",(Datos!L19-Datos!V19)/Datos!V19,(Datos!L19+Datos!AB19-(Datos!V19+Datos!AJ19))/(Datos!V19+Datos!AJ19))," - ")</f>
        <v>1.1601388200297472E-2</v>
      </c>
      <c r="H19" s="364">
        <f>IF(ISNUMBER((Datos!M19-Datos!W19)/Datos!W19),(Datos!M19-Datos!W19)/Datos!W19," - ")</f>
        <v>-0.29652996845425866</v>
      </c>
      <c r="I19" s="361">
        <f>IF(ISNUMBER((Tasas!C19-Datos!BE19)/Datos!BE19),(Tasas!C19-Datos!BE19)/Datos!BE19," - ")</f>
        <v>9.7396417268942728E-2</v>
      </c>
      <c r="J19" s="362">
        <f>IF(ISNUMBER((Tasas!D19-Datos!BF19)/Datos!BF19),(Tasas!D19-Datos!BF19)/Datos!BF19," - ")</f>
        <v>-0.60439431583420067</v>
      </c>
      <c r="K19" s="363">
        <f>IF(ISNUMBER((Tasas!E19-Datos!BG19)/Datos!BG19),(Tasas!E19-Datos!BG19)/Datos!BG19," - ")</f>
        <v>6.9850809425590701E-2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0.10163160044828509</v>
      </c>
      <c r="E21" s="277">
        <f t="shared" si="1"/>
        <v>0.34159681123342123</v>
      </c>
      <c r="F21" s="277">
        <f t="shared" si="1"/>
        <v>0.82833621032556359</v>
      </c>
      <c r="G21" s="278">
        <f t="shared" si="1"/>
        <v>0.16521838964979907</v>
      </c>
      <c r="H21" s="284">
        <f t="shared" si="1"/>
        <v>0.51870429271210472</v>
      </c>
      <c r="I21" s="276">
        <f t="shared" si="1"/>
        <v>0.38795089236195462</v>
      </c>
      <c r="J21" s="277">
        <f t="shared" si="1"/>
        <v>0.24560708047575489</v>
      </c>
      <c r="K21" s="278">
        <f t="shared" si="1"/>
        <v>0.32560901465340825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ZlzPojNzOFdFG4XsqJUalO5FLocEGoK0++3NHfhn0PYNPxtgvKD3DhDEO53WYleRCw5SHNsyiDiZEL2wyTnoA==" saltValue="OMh8Up0nOH3mmeryMxi38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